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/>
  <bookViews>
    <workbookView xWindow="-15" yWindow="-15" windowWidth="19260" windowHeight="11640" tabRatio="851"/>
  </bookViews>
  <sheets>
    <sheet name="Titul" sheetId="1" r:id="rId1"/>
    <sheet name="ШкалаТрудн" sheetId="18" r:id="rId2"/>
    <sheet name="Список" sheetId="5" r:id="rId3"/>
    <sheet name="Таблица общая" sheetId="2" r:id="rId4"/>
    <sheet name="Таблица Учитель-Предмет" sheetId="4" r:id="rId5"/>
    <sheet name="Таблица Учитель" sheetId="17" r:id="rId6"/>
    <sheet name="Таблица ПМО" sheetId="12" r:id="rId7"/>
    <sheet name="СрБалл" sheetId="3" r:id="rId8"/>
    <sheet name="Успеваемость" sheetId="7" r:id="rId9"/>
    <sheet name="КачЗнаний" sheetId="9" r:id="rId10"/>
    <sheet name="СтепОбучен" sheetId="6" r:id="rId11"/>
    <sheet name="КачУспев" sheetId="8" r:id="rId12"/>
    <sheet name="Рейтинг" sheetId="19" r:id="rId13"/>
  </sheets>
  <definedNames>
    <definedName name="_xlnm._FilterDatabase" localSheetId="2" hidden="1">Список!$L$5:$O$85</definedName>
    <definedName name="_xlnm._FilterDatabase" localSheetId="3" hidden="1">'Таблица общая'!$B$5:$F$159</definedName>
    <definedName name="_xlnm._FilterDatabase" localSheetId="6" hidden="1">'Таблица ПМО'!$A$5:$N$5</definedName>
    <definedName name="_xlnm._FilterDatabase" localSheetId="5" hidden="1">'Таблица Учитель'!$A$5:$N$36</definedName>
    <definedName name="_xlnm._FilterDatabase" localSheetId="4" hidden="1">'Таблица Учитель-Предмет'!$B$5:$Q$70</definedName>
    <definedName name="Список_предметы">Список!$F$6:$F$30</definedName>
    <definedName name="Список_учителя">Список!$J$6:$J$55</definedName>
  </definedNames>
  <calcPr calcId="124519"/>
</workbook>
</file>

<file path=xl/calcChain.xml><?xml version="1.0" encoding="utf-8"?>
<calcChain xmlns="http://schemas.openxmlformats.org/spreadsheetml/2006/main">
  <c r="A6" i="17"/>
  <c r="O60" i="5"/>
  <c r="A1" i="2"/>
  <c r="B2" i="18" l="1"/>
  <c r="B1"/>
  <c r="O22" i="5" l="1"/>
  <c r="B6" i="18" l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7" i="1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6"/>
  <c r="B7" i="12"/>
  <c r="B8"/>
  <c r="B9"/>
  <c r="B10"/>
  <c r="B11"/>
  <c r="B12"/>
  <c r="B13"/>
  <c r="B14"/>
  <c r="B6"/>
  <c r="K2" i="17"/>
  <c r="B2"/>
  <c r="B1"/>
  <c r="O55" i="5"/>
  <c r="O35"/>
  <c r="O62"/>
  <c r="O63"/>
  <c r="O70"/>
  <c r="O71"/>
  <c r="O59"/>
  <c r="O23"/>
  <c r="O9"/>
  <c r="O15"/>
  <c r="O77"/>
  <c r="O78"/>
  <c r="O82"/>
  <c r="O67"/>
  <c r="O80"/>
  <c r="O46"/>
  <c r="O47"/>
  <c r="O31"/>
  <c r="O32"/>
  <c r="O33"/>
  <c r="O81"/>
  <c r="O64"/>
  <c r="O65"/>
  <c r="O18"/>
  <c r="O19"/>
  <c r="O20"/>
  <c r="O72"/>
  <c r="O73"/>
  <c r="O24"/>
  <c r="O25"/>
  <c r="O10"/>
  <c r="O11"/>
  <c r="O16"/>
  <c r="O83"/>
  <c r="O84"/>
  <c r="O85"/>
  <c r="O68"/>
  <c r="O56"/>
  <c r="O48"/>
  <c r="O49"/>
  <c r="O50"/>
  <c r="O37"/>
  <c r="O38"/>
  <c r="O39"/>
  <c r="O40"/>
  <c r="O41"/>
  <c r="O42"/>
  <c r="O6"/>
  <c r="O7"/>
  <c r="O69"/>
  <c r="O26"/>
  <c r="O57"/>
  <c r="O51"/>
  <c r="O52"/>
  <c r="O53"/>
  <c r="O54"/>
  <c r="O43"/>
  <c r="O8"/>
  <c r="O17"/>
  <c r="O14"/>
  <c r="O74"/>
  <c r="O75"/>
  <c r="O76"/>
  <c r="O21"/>
  <c r="O66"/>
  <c r="O79"/>
  <c r="O44"/>
  <c r="O45"/>
  <c r="O27"/>
  <c r="O28"/>
  <c r="O29"/>
  <c r="O30"/>
  <c r="O12"/>
  <c r="O13"/>
  <c r="O58"/>
  <c r="O34"/>
  <c r="O36"/>
  <c r="O61"/>
  <c r="N2"/>
  <c r="E2"/>
  <c r="I7"/>
  <c r="I8" s="1"/>
  <c r="E7"/>
  <c r="E8" s="1"/>
  <c r="E9" s="1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G25" i="4"/>
  <c r="I9" i="5" l="1"/>
  <c r="A7" i="17"/>
  <c r="N10" i="2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6"/>
  <c r="N7"/>
  <c r="N8"/>
  <c r="N9"/>
  <c r="O104"/>
  <c r="P104"/>
  <c r="Q104"/>
  <c r="R104"/>
  <c r="S104"/>
  <c r="O105"/>
  <c r="P105"/>
  <c r="Q105"/>
  <c r="R105"/>
  <c r="S105"/>
  <c r="O106"/>
  <c r="P106"/>
  <c r="Q106"/>
  <c r="R106"/>
  <c r="S106"/>
  <c r="O107"/>
  <c r="P107"/>
  <c r="Q107"/>
  <c r="R107"/>
  <c r="S107"/>
  <c r="O108"/>
  <c r="P108"/>
  <c r="Q108"/>
  <c r="R108"/>
  <c r="S108"/>
  <c r="O109"/>
  <c r="P109"/>
  <c r="Q109"/>
  <c r="R109"/>
  <c r="S109"/>
  <c r="O110"/>
  <c r="P110"/>
  <c r="Q110"/>
  <c r="R110"/>
  <c r="S110"/>
  <c r="O111"/>
  <c r="P111"/>
  <c r="Q111"/>
  <c r="R111"/>
  <c r="S111"/>
  <c r="O112"/>
  <c r="P112"/>
  <c r="Q112"/>
  <c r="R112"/>
  <c r="S112"/>
  <c r="O113"/>
  <c r="P113"/>
  <c r="Q113"/>
  <c r="R113"/>
  <c r="S113"/>
  <c r="O114"/>
  <c r="P114"/>
  <c r="Q114"/>
  <c r="R114"/>
  <c r="S114"/>
  <c r="O115"/>
  <c r="P115"/>
  <c r="Q115"/>
  <c r="R115"/>
  <c r="S115"/>
  <c r="O116"/>
  <c r="P116"/>
  <c r="Q116"/>
  <c r="R116"/>
  <c r="S116"/>
  <c r="O117"/>
  <c r="P117"/>
  <c r="Q117"/>
  <c r="R117"/>
  <c r="S117"/>
  <c r="O118"/>
  <c r="P118"/>
  <c r="Q118"/>
  <c r="R118"/>
  <c r="S118"/>
  <c r="O119"/>
  <c r="P119"/>
  <c r="Q119"/>
  <c r="R119"/>
  <c r="S119"/>
  <c r="O120"/>
  <c r="P120"/>
  <c r="Q120"/>
  <c r="R120"/>
  <c r="S120"/>
  <c r="O121"/>
  <c r="P121"/>
  <c r="Q121"/>
  <c r="R121"/>
  <c r="S121"/>
  <c r="O122"/>
  <c r="P122"/>
  <c r="Q122"/>
  <c r="R122"/>
  <c r="S122"/>
  <c r="O123"/>
  <c r="P123"/>
  <c r="Q123"/>
  <c r="R123"/>
  <c r="S123"/>
  <c r="O124"/>
  <c r="P124"/>
  <c r="Q124"/>
  <c r="R124"/>
  <c r="S124"/>
  <c r="O125"/>
  <c r="P125"/>
  <c r="Q125"/>
  <c r="R125"/>
  <c r="S125"/>
  <c r="O126"/>
  <c r="P126"/>
  <c r="Q126"/>
  <c r="R126"/>
  <c r="S126"/>
  <c r="O127"/>
  <c r="P127"/>
  <c r="Q127"/>
  <c r="R127"/>
  <c r="S127"/>
  <c r="O128"/>
  <c r="P128"/>
  <c r="Q128"/>
  <c r="R128"/>
  <c r="S128"/>
  <c r="O129"/>
  <c r="P129"/>
  <c r="Q129"/>
  <c r="R129"/>
  <c r="S129"/>
  <c r="O130"/>
  <c r="P130"/>
  <c r="Q130"/>
  <c r="R130"/>
  <c r="S130"/>
  <c r="O131"/>
  <c r="P131"/>
  <c r="Q131"/>
  <c r="R131"/>
  <c r="S131"/>
  <c r="O132"/>
  <c r="P132"/>
  <c r="Q132"/>
  <c r="R132"/>
  <c r="S132"/>
  <c r="O133"/>
  <c r="P133"/>
  <c r="Q133"/>
  <c r="R133"/>
  <c r="S133"/>
  <c r="O134"/>
  <c r="P134"/>
  <c r="Q134"/>
  <c r="R134"/>
  <c r="S134"/>
  <c r="O135"/>
  <c r="P135"/>
  <c r="Q135"/>
  <c r="R135"/>
  <c r="S135"/>
  <c r="O136"/>
  <c r="P136"/>
  <c r="Q136"/>
  <c r="R136"/>
  <c r="S136"/>
  <c r="O137"/>
  <c r="P137"/>
  <c r="Q137"/>
  <c r="R137"/>
  <c r="S137"/>
  <c r="O138"/>
  <c r="P138"/>
  <c r="Q138"/>
  <c r="R138"/>
  <c r="S138"/>
  <c r="O139"/>
  <c r="P139"/>
  <c r="Q139"/>
  <c r="R139"/>
  <c r="S139"/>
  <c r="O140"/>
  <c r="P140"/>
  <c r="Q140"/>
  <c r="R140"/>
  <c r="S140"/>
  <c r="O141"/>
  <c r="P141"/>
  <c r="Q141"/>
  <c r="R141"/>
  <c r="S141"/>
  <c r="O142"/>
  <c r="P142"/>
  <c r="Q142"/>
  <c r="R142"/>
  <c r="S142"/>
  <c r="O143"/>
  <c r="P143"/>
  <c r="Q143"/>
  <c r="R143"/>
  <c r="S143"/>
  <c r="O144"/>
  <c r="P144"/>
  <c r="Q144"/>
  <c r="R144"/>
  <c r="S144"/>
  <c r="O145"/>
  <c r="P145"/>
  <c r="Q145"/>
  <c r="R145"/>
  <c r="S145"/>
  <c r="O146"/>
  <c r="P146"/>
  <c r="Q146"/>
  <c r="R146"/>
  <c r="S146"/>
  <c r="O147"/>
  <c r="P147"/>
  <c r="Q147"/>
  <c r="R147"/>
  <c r="S147"/>
  <c r="O148"/>
  <c r="P148"/>
  <c r="Q148"/>
  <c r="R148"/>
  <c r="S148"/>
  <c r="O149"/>
  <c r="P149"/>
  <c r="Q149"/>
  <c r="R149"/>
  <c r="S149"/>
  <c r="O150"/>
  <c r="P150"/>
  <c r="Q150"/>
  <c r="R150"/>
  <c r="S150"/>
  <c r="O151"/>
  <c r="P151"/>
  <c r="Q151"/>
  <c r="R151"/>
  <c r="S151"/>
  <c r="O152"/>
  <c r="P152"/>
  <c r="Q152"/>
  <c r="R152"/>
  <c r="S152"/>
  <c r="O153"/>
  <c r="P153"/>
  <c r="Q153"/>
  <c r="R153"/>
  <c r="S153"/>
  <c r="O154"/>
  <c r="P154"/>
  <c r="Q154"/>
  <c r="R154"/>
  <c r="S154"/>
  <c r="O155"/>
  <c r="P155"/>
  <c r="Q155"/>
  <c r="R155"/>
  <c r="S155"/>
  <c r="O156"/>
  <c r="P156"/>
  <c r="Q156"/>
  <c r="R156"/>
  <c r="S156"/>
  <c r="O157"/>
  <c r="P157"/>
  <c r="Q157"/>
  <c r="R157"/>
  <c r="S157"/>
  <c r="O158"/>
  <c r="P158"/>
  <c r="Q158"/>
  <c r="R158"/>
  <c r="S158"/>
  <c r="O159"/>
  <c r="P159"/>
  <c r="Q159"/>
  <c r="R159"/>
  <c r="S159"/>
  <c r="B104"/>
  <c r="C104"/>
  <c r="D104"/>
  <c r="E104" s="1"/>
  <c r="T104" s="1"/>
  <c r="B105"/>
  <c r="C105"/>
  <c r="D105"/>
  <c r="E105" s="1"/>
  <c r="B106"/>
  <c r="C106"/>
  <c r="D106"/>
  <c r="E106" s="1"/>
  <c r="T106" s="1"/>
  <c r="B107"/>
  <c r="C107"/>
  <c r="U107" s="1"/>
  <c r="D107"/>
  <c r="E107" s="1"/>
  <c r="B108"/>
  <c r="C108"/>
  <c r="D108"/>
  <c r="E108" s="1"/>
  <c r="B109"/>
  <c r="C109"/>
  <c r="D109"/>
  <c r="E109" s="1"/>
  <c r="B110"/>
  <c r="C110"/>
  <c r="D110"/>
  <c r="E110" s="1"/>
  <c r="T110" s="1"/>
  <c r="B111"/>
  <c r="C111"/>
  <c r="D111"/>
  <c r="E111" s="1"/>
  <c r="B112"/>
  <c r="C112"/>
  <c r="D112"/>
  <c r="E112" s="1"/>
  <c r="T112" s="1"/>
  <c r="B113"/>
  <c r="C113"/>
  <c r="D113"/>
  <c r="E113" s="1"/>
  <c r="B114"/>
  <c r="C114"/>
  <c r="U114" s="1"/>
  <c r="D114"/>
  <c r="E114" s="1"/>
  <c r="B115"/>
  <c r="C115"/>
  <c r="D115"/>
  <c r="E115" s="1"/>
  <c r="T115" s="1"/>
  <c r="B116"/>
  <c r="C116"/>
  <c r="D116"/>
  <c r="E116" s="1"/>
  <c r="B117"/>
  <c r="C117"/>
  <c r="D117"/>
  <c r="E117" s="1"/>
  <c r="B118"/>
  <c r="C118"/>
  <c r="D118"/>
  <c r="E118" s="1"/>
  <c r="B119"/>
  <c r="C119"/>
  <c r="D119"/>
  <c r="E119" s="1"/>
  <c r="T119" s="1"/>
  <c r="B120"/>
  <c r="C120"/>
  <c r="U120" s="1"/>
  <c r="D120"/>
  <c r="E120" s="1"/>
  <c r="B121"/>
  <c r="C121"/>
  <c r="D121"/>
  <c r="E121" s="1"/>
  <c r="B122"/>
  <c r="C122"/>
  <c r="D122"/>
  <c r="E122" s="1"/>
  <c r="B123"/>
  <c r="C123"/>
  <c r="D123"/>
  <c r="E123" s="1"/>
  <c r="T123" s="1"/>
  <c r="B124"/>
  <c r="C124"/>
  <c r="D124"/>
  <c r="E124" s="1"/>
  <c r="B125"/>
  <c r="C125"/>
  <c r="D125"/>
  <c r="E125" s="1"/>
  <c r="T125" s="1"/>
  <c r="B126"/>
  <c r="C126"/>
  <c r="D126"/>
  <c r="E126" s="1"/>
  <c r="B127"/>
  <c r="C127"/>
  <c r="D127"/>
  <c r="E127" s="1"/>
  <c r="B128"/>
  <c r="C128"/>
  <c r="D128"/>
  <c r="E128" s="1"/>
  <c r="B129"/>
  <c r="C129"/>
  <c r="D129"/>
  <c r="E129" s="1"/>
  <c r="T129" s="1"/>
  <c r="B130"/>
  <c r="C130"/>
  <c r="D130"/>
  <c r="E130" s="1"/>
  <c r="B131"/>
  <c r="C131"/>
  <c r="U131" s="1"/>
  <c r="D131"/>
  <c r="E131" s="1"/>
  <c r="T131" s="1"/>
  <c r="B132"/>
  <c r="C132"/>
  <c r="D132"/>
  <c r="E132" s="1"/>
  <c r="B133"/>
  <c r="C133"/>
  <c r="D133"/>
  <c r="E133" s="1"/>
  <c r="B134"/>
  <c r="C134"/>
  <c r="D134"/>
  <c r="E134" s="1"/>
  <c r="T134" s="1"/>
  <c r="B135"/>
  <c r="C135"/>
  <c r="D135"/>
  <c r="E135" s="1"/>
  <c r="B136"/>
  <c r="C136"/>
  <c r="U136" s="1"/>
  <c r="D136"/>
  <c r="E136" s="1"/>
  <c r="T136" s="1"/>
  <c r="B137"/>
  <c r="C137"/>
  <c r="D137"/>
  <c r="E137" s="1"/>
  <c r="B138"/>
  <c r="C138"/>
  <c r="D138"/>
  <c r="E138" s="1"/>
  <c r="T138" s="1"/>
  <c r="B139"/>
  <c r="C139"/>
  <c r="D139"/>
  <c r="E139" s="1"/>
  <c r="B140"/>
  <c r="C140"/>
  <c r="D140"/>
  <c r="E140" s="1"/>
  <c r="T140" s="1"/>
  <c r="B141"/>
  <c r="C141"/>
  <c r="D141"/>
  <c r="E141" s="1"/>
  <c r="B142"/>
  <c r="C142"/>
  <c r="D142"/>
  <c r="E142" s="1"/>
  <c r="B143"/>
  <c r="C143"/>
  <c r="D143"/>
  <c r="E143" s="1"/>
  <c r="T143" s="1"/>
  <c r="B144"/>
  <c r="C144"/>
  <c r="D144"/>
  <c r="E144" s="1"/>
  <c r="B145"/>
  <c r="C145"/>
  <c r="U145" s="1"/>
  <c r="D145"/>
  <c r="E145" s="1"/>
  <c r="B146"/>
  <c r="C146"/>
  <c r="D146"/>
  <c r="E146" s="1"/>
  <c r="T146" s="1"/>
  <c r="B147"/>
  <c r="C147"/>
  <c r="D147"/>
  <c r="E147" s="1"/>
  <c r="B148"/>
  <c r="C148"/>
  <c r="D148"/>
  <c r="E148" s="1"/>
  <c r="B149"/>
  <c r="C149"/>
  <c r="D149"/>
  <c r="E149" s="1"/>
  <c r="T149" s="1"/>
  <c r="B150"/>
  <c r="C150"/>
  <c r="D150"/>
  <c r="E150" s="1"/>
  <c r="T150" s="1"/>
  <c r="B151"/>
  <c r="C151"/>
  <c r="D151"/>
  <c r="E151" s="1"/>
  <c r="B152"/>
  <c r="C152"/>
  <c r="D152"/>
  <c r="E152" s="1"/>
  <c r="B153"/>
  <c r="C153"/>
  <c r="D153"/>
  <c r="E153" s="1"/>
  <c r="T153" s="1"/>
  <c r="B154"/>
  <c r="C154"/>
  <c r="D154"/>
  <c r="E154" s="1"/>
  <c r="B155"/>
  <c r="C155"/>
  <c r="D155"/>
  <c r="E155" s="1"/>
  <c r="T155" s="1"/>
  <c r="B156"/>
  <c r="C156"/>
  <c r="D156"/>
  <c r="E156" s="1"/>
  <c r="B157"/>
  <c r="C157"/>
  <c r="D157"/>
  <c r="E157" s="1"/>
  <c r="B158"/>
  <c r="C158"/>
  <c r="D158"/>
  <c r="E158" s="1"/>
  <c r="T158" s="1"/>
  <c r="B159"/>
  <c r="C159"/>
  <c r="D159"/>
  <c r="E159" s="1"/>
  <c r="T159" s="1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T157" l="1"/>
  <c r="T156"/>
  <c r="T154"/>
  <c r="T152"/>
  <c r="T151"/>
  <c r="T148"/>
  <c r="T147"/>
  <c r="T145"/>
  <c r="T144"/>
  <c r="T142"/>
  <c r="T141"/>
  <c r="T139"/>
  <c r="T137"/>
  <c r="T135"/>
  <c r="T133"/>
  <c r="T132"/>
  <c r="T130"/>
  <c r="T128"/>
  <c r="T127"/>
  <c r="T126"/>
  <c r="T124"/>
  <c r="T122"/>
  <c r="T121"/>
  <c r="T120"/>
  <c r="T118"/>
  <c r="T117"/>
  <c r="T116"/>
  <c r="T114"/>
  <c r="T113"/>
  <c r="T111"/>
  <c r="T109"/>
  <c r="T108"/>
  <c r="T107"/>
  <c r="T105"/>
  <c r="I10" i="5"/>
  <c r="A8" i="17"/>
  <c r="D10" i="2"/>
  <c r="E10" s="1"/>
  <c r="D11"/>
  <c r="E11" s="1"/>
  <c r="D12"/>
  <c r="E12" s="1"/>
  <c r="D13"/>
  <c r="E13" s="1"/>
  <c r="D14"/>
  <c r="E14" s="1"/>
  <c r="D15"/>
  <c r="E15" s="1"/>
  <c r="D16"/>
  <c r="E16" s="1"/>
  <c r="D17"/>
  <c r="E17" s="1"/>
  <c r="D18"/>
  <c r="E18" s="1"/>
  <c r="D19"/>
  <c r="E19" s="1"/>
  <c r="D20"/>
  <c r="E20" s="1"/>
  <c r="D21"/>
  <c r="E21" s="1"/>
  <c r="D22"/>
  <c r="E22" s="1"/>
  <c r="D23"/>
  <c r="E23" s="1"/>
  <c r="D24"/>
  <c r="E24" s="1"/>
  <c r="D25"/>
  <c r="E25" s="1"/>
  <c r="D26"/>
  <c r="E26" s="1"/>
  <c r="D27"/>
  <c r="E27" s="1"/>
  <c r="D28"/>
  <c r="E28" s="1"/>
  <c r="D29"/>
  <c r="E29" s="1"/>
  <c r="D30"/>
  <c r="E30" s="1"/>
  <c r="D31"/>
  <c r="E31" s="1"/>
  <c r="D32"/>
  <c r="E32" s="1"/>
  <c r="D33"/>
  <c r="E33" s="1"/>
  <c r="D34"/>
  <c r="E34" s="1"/>
  <c r="D35"/>
  <c r="E35" s="1"/>
  <c r="D36"/>
  <c r="E36" s="1"/>
  <c r="D37"/>
  <c r="E37" s="1"/>
  <c r="D38"/>
  <c r="E38" s="1"/>
  <c r="D39"/>
  <c r="E39" s="1"/>
  <c r="D40"/>
  <c r="E40" s="1"/>
  <c r="D41"/>
  <c r="E41" s="1"/>
  <c r="D42"/>
  <c r="E42" s="1"/>
  <c r="D43"/>
  <c r="E43" s="1"/>
  <c r="D44"/>
  <c r="E44" s="1"/>
  <c r="D45"/>
  <c r="E45" s="1"/>
  <c r="D46"/>
  <c r="E46" s="1"/>
  <c r="D47"/>
  <c r="E47" s="1"/>
  <c r="D48"/>
  <c r="E48" s="1"/>
  <c r="D49"/>
  <c r="E49" s="1"/>
  <c r="D50"/>
  <c r="E50" s="1"/>
  <c r="D51"/>
  <c r="E51" s="1"/>
  <c r="D52"/>
  <c r="E52" s="1"/>
  <c r="D53"/>
  <c r="E53" s="1"/>
  <c r="D54"/>
  <c r="E54" s="1"/>
  <c r="D55"/>
  <c r="E55" s="1"/>
  <c r="D56"/>
  <c r="E56" s="1"/>
  <c r="D57"/>
  <c r="E57" s="1"/>
  <c r="D58"/>
  <c r="E58" s="1"/>
  <c r="D59"/>
  <c r="E59" s="1"/>
  <c r="D60"/>
  <c r="E60" s="1"/>
  <c r="D61"/>
  <c r="E61" s="1"/>
  <c r="D62"/>
  <c r="E62" s="1"/>
  <c r="D63"/>
  <c r="E63" s="1"/>
  <c r="D64"/>
  <c r="E64" s="1"/>
  <c r="D65"/>
  <c r="E65" s="1"/>
  <c r="D66"/>
  <c r="E66" s="1"/>
  <c r="D67"/>
  <c r="E67" s="1"/>
  <c r="D68"/>
  <c r="E68" s="1"/>
  <c r="D69"/>
  <c r="E69" s="1"/>
  <c r="D70"/>
  <c r="E70" s="1"/>
  <c r="D71"/>
  <c r="E71" s="1"/>
  <c r="D72"/>
  <c r="E72" s="1"/>
  <c r="D73"/>
  <c r="E73" s="1"/>
  <c r="D74"/>
  <c r="E74" s="1"/>
  <c r="D75"/>
  <c r="E75" s="1"/>
  <c r="D76"/>
  <c r="E76" s="1"/>
  <c r="D77"/>
  <c r="E77" s="1"/>
  <c r="D78"/>
  <c r="E78" s="1"/>
  <c r="D79"/>
  <c r="E79" s="1"/>
  <c r="D80"/>
  <c r="E80" s="1"/>
  <c r="D81"/>
  <c r="E81" s="1"/>
  <c r="D82"/>
  <c r="E82" s="1"/>
  <c r="D83"/>
  <c r="E83" s="1"/>
  <c r="D84"/>
  <c r="E84" s="1"/>
  <c r="D85"/>
  <c r="E85" s="1"/>
  <c r="D86"/>
  <c r="E86" s="1"/>
  <c r="D87"/>
  <c r="E87" s="1"/>
  <c r="D88"/>
  <c r="E88" s="1"/>
  <c r="D89"/>
  <c r="E89" s="1"/>
  <c r="D90"/>
  <c r="E90" s="1"/>
  <c r="D91"/>
  <c r="E91" s="1"/>
  <c r="D92"/>
  <c r="E92" s="1"/>
  <c r="D93"/>
  <c r="E93" s="1"/>
  <c r="D94"/>
  <c r="E94" s="1"/>
  <c r="D95"/>
  <c r="E95" s="1"/>
  <c r="D96"/>
  <c r="E96" s="1"/>
  <c r="D97"/>
  <c r="E97" s="1"/>
  <c r="D98"/>
  <c r="E98" s="1"/>
  <c r="D99"/>
  <c r="E99" s="1"/>
  <c r="D100"/>
  <c r="E100" s="1"/>
  <c r="D101"/>
  <c r="E101" s="1"/>
  <c r="D102"/>
  <c r="E102" s="1"/>
  <c r="D103"/>
  <c r="E103" s="1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U46" s="1"/>
  <c r="C47"/>
  <c r="C48"/>
  <c r="C49"/>
  <c r="C50"/>
  <c r="C51"/>
  <c r="C52"/>
  <c r="C53"/>
  <c r="C54"/>
  <c r="C55"/>
  <c r="C56"/>
  <c r="C57"/>
  <c r="C58"/>
  <c r="C59"/>
  <c r="C60"/>
  <c r="U60" s="1"/>
  <c r="C61"/>
  <c r="C62"/>
  <c r="C63"/>
  <c r="C64"/>
  <c r="C65"/>
  <c r="C66"/>
  <c r="C67"/>
  <c r="C68"/>
  <c r="C69"/>
  <c r="C70"/>
  <c r="C71"/>
  <c r="C72"/>
  <c r="C73"/>
  <c r="C74"/>
  <c r="C75"/>
  <c r="U75" s="1"/>
  <c r="C76"/>
  <c r="U76" s="1"/>
  <c r="C77"/>
  <c r="C78"/>
  <c r="C79"/>
  <c r="U79" s="1"/>
  <c r="C80"/>
  <c r="U80" s="1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B8"/>
  <c r="C6"/>
  <c r="C7"/>
  <c r="C8"/>
  <c r="C9"/>
  <c r="D6"/>
  <c r="E6" s="1"/>
  <c r="D7"/>
  <c r="E7" s="1"/>
  <c r="D8"/>
  <c r="E8" s="1"/>
  <c r="I11" i="5" l="1"/>
  <c r="A9" i="17"/>
  <c r="B6" i="2"/>
  <c r="B7"/>
  <c r="B6" i="4"/>
  <c r="B7"/>
  <c r="B8"/>
  <c r="B9"/>
  <c r="R9" s="1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R36" s="1"/>
  <c r="B37"/>
  <c r="B38"/>
  <c r="B39"/>
  <c r="B40"/>
  <c r="B41"/>
  <c r="B42"/>
  <c r="B43"/>
  <c r="B44"/>
  <c r="B45"/>
  <c r="B46"/>
  <c r="B47"/>
  <c r="B48"/>
  <c r="B49"/>
  <c r="B50"/>
  <c r="B51"/>
  <c r="B52"/>
  <c r="R52" s="1"/>
  <c r="B53"/>
  <c r="B54"/>
  <c r="B55"/>
  <c r="R55" s="1"/>
  <c r="B56"/>
  <c r="R56" s="1"/>
  <c r="B57"/>
  <c r="B58"/>
  <c r="R58" s="1"/>
  <c r="B59"/>
  <c r="B60"/>
  <c r="B61"/>
  <c r="B62"/>
  <c r="B63"/>
  <c r="B64"/>
  <c r="B65"/>
  <c r="B66"/>
  <c r="R66" s="1"/>
  <c r="B67"/>
  <c r="R67" s="1"/>
  <c r="B68"/>
  <c r="B69"/>
  <c r="B70"/>
  <c r="B9" i="2"/>
  <c r="B1" i="5"/>
  <c r="C2" i="2"/>
  <c r="P2"/>
  <c r="O6"/>
  <c r="T6" s="1"/>
  <c r="P6"/>
  <c r="Q6"/>
  <c r="R6"/>
  <c r="S6"/>
  <c r="O7"/>
  <c r="T7" s="1"/>
  <c r="P7"/>
  <c r="Q7"/>
  <c r="R7"/>
  <c r="S7"/>
  <c r="O8"/>
  <c r="T8" s="1"/>
  <c r="P8"/>
  <c r="Q8"/>
  <c r="R8"/>
  <c r="S8"/>
  <c r="O9"/>
  <c r="P9"/>
  <c r="Q9"/>
  <c r="R9"/>
  <c r="S9"/>
  <c r="O10"/>
  <c r="T10" s="1"/>
  <c r="P10"/>
  <c r="Q10"/>
  <c r="R10"/>
  <c r="S10"/>
  <c r="O11"/>
  <c r="T11" s="1"/>
  <c r="P11"/>
  <c r="Q11"/>
  <c r="R11"/>
  <c r="S11"/>
  <c r="O12"/>
  <c r="T12" s="1"/>
  <c r="P12"/>
  <c r="Q12"/>
  <c r="R12"/>
  <c r="S12"/>
  <c r="O13"/>
  <c r="T13" s="1"/>
  <c r="P13"/>
  <c r="Q13"/>
  <c r="R13"/>
  <c r="S13"/>
  <c r="O14"/>
  <c r="T14" s="1"/>
  <c r="P14"/>
  <c r="Q14"/>
  <c r="R14"/>
  <c r="S14"/>
  <c r="O15"/>
  <c r="T15" s="1"/>
  <c r="P15"/>
  <c r="Q15"/>
  <c r="R15"/>
  <c r="S15"/>
  <c r="O16"/>
  <c r="T16" s="1"/>
  <c r="P16"/>
  <c r="Q16"/>
  <c r="R16"/>
  <c r="S16"/>
  <c r="O17"/>
  <c r="T17" s="1"/>
  <c r="P17"/>
  <c r="Q17"/>
  <c r="R17"/>
  <c r="S17"/>
  <c r="O18"/>
  <c r="T18" s="1"/>
  <c r="P18"/>
  <c r="Q18"/>
  <c r="R18"/>
  <c r="S18"/>
  <c r="O19"/>
  <c r="T19" s="1"/>
  <c r="P19"/>
  <c r="Q19"/>
  <c r="R19"/>
  <c r="S19"/>
  <c r="O20"/>
  <c r="T20" s="1"/>
  <c r="P20"/>
  <c r="Q20"/>
  <c r="R20"/>
  <c r="S20"/>
  <c r="O21"/>
  <c r="T21" s="1"/>
  <c r="P21"/>
  <c r="Q21"/>
  <c r="R21"/>
  <c r="S21"/>
  <c r="O22"/>
  <c r="T22" s="1"/>
  <c r="P22"/>
  <c r="Q22"/>
  <c r="R22"/>
  <c r="S22"/>
  <c r="O23"/>
  <c r="T23" s="1"/>
  <c r="P23"/>
  <c r="Q23"/>
  <c r="R23"/>
  <c r="S23"/>
  <c r="O24"/>
  <c r="T24" s="1"/>
  <c r="P24"/>
  <c r="Q24"/>
  <c r="R24"/>
  <c r="S24"/>
  <c r="O25"/>
  <c r="T25" s="1"/>
  <c r="P25"/>
  <c r="Q25"/>
  <c r="R25"/>
  <c r="S25"/>
  <c r="O26"/>
  <c r="T26" s="1"/>
  <c r="P26"/>
  <c r="Q26"/>
  <c r="R26"/>
  <c r="S26"/>
  <c r="O27"/>
  <c r="T27" s="1"/>
  <c r="P27"/>
  <c r="Q27"/>
  <c r="R27"/>
  <c r="S27"/>
  <c r="O28"/>
  <c r="T28" s="1"/>
  <c r="P28"/>
  <c r="Q28"/>
  <c r="R28"/>
  <c r="S28"/>
  <c r="O29"/>
  <c r="T29" s="1"/>
  <c r="P29"/>
  <c r="Q29"/>
  <c r="R29"/>
  <c r="S29"/>
  <c r="O30"/>
  <c r="T30" s="1"/>
  <c r="P30"/>
  <c r="Q30"/>
  <c r="R30"/>
  <c r="S30"/>
  <c r="O31"/>
  <c r="T31" s="1"/>
  <c r="P31"/>
  <c r="Q31"/>
  <c r="R31"/>
  <c r="S31"/>
  <c r="O32"/>
  <c r="T32" s="1"/>
  <c r="P32"/>
  <c r="Q32"/>
  <c r="R32"/>
  <c r="S32"/>
  <c r="O33"/>
  <c r="T33" s="1"/>
  <c r="P33"/>
  <c r="Q33"/>
  <c r="R33"/>
  <c r="S33"/>
  <c r="O34"/>
  <c r="T34" s="1"/>
  <c r="P34"/>
  <c r="Q34"/>
  <c r="R34"/>
  <c r="S34"/>
  <c r="O35"/>
  <c r="T35" s="1"/>
  <c r="P35"/>
  <c r="Q35"/>
  <c r="R35"/>
  <c r="S35"/>
  <c r="O36"/>
  <c r="T36" s="1"/>
  <c r="P36"/>
  <c r="Q36"/>
  <c r="R36"/>
  <c r="S36"/>
  <c r="O37"/>
  <c r="T37" s="1"/>
  <c r="P37"/>
  <c r="Q37"/>
  <c r="R37"/>
  <c r="S37"/>
  <c r="O38"/>
  <c r="T38" s="1"/>
  <c r="P38"/>
  <c r="Q38"/>
  <c r="R38"/>
  <c r="S38"/>
  <c r="O39"/>
  <c r="T39" s="1"/>
  <c r="P39"/>
  <c r="Q39"/>
  <c r="R39"/>
  <c r="S39"/>
  <c r="O40"/>
  <c r="T40" s="1"/>
  <c r="P40"/>
  <c r="Q40"/>
  <c r="R40"/>
  <c r="S40"/>
  <c r="O41"/>
  <c r="T41" s="1"/>
  <c r="P41"/>
  <c r="Q41"/>
  <c r="R41"/>
  <c r="S41"/>
  <c r="O42"/>
  <c r="T42" s="1"/>
  <c r="P42"/>
  <c r="Q42"/>
  <c r="R42"/>
  <c r="S42"/>
  <c r="O43"/>
  <c r="T43" s="1"/>
  <c r="P43"/>
  <c r="Q43"/>
  <c r="R43"/>
  <c r="S43"/>
  <c r="O44"/>
  <c r="T44" s="1"/>
  <c r="P44"/>
  <c r="Q44"/>
  <c r="R44"/>
  <c r="S44"/>
  <c r="O45"/>
  <c r="T45" s="1"/>
  <c r="P45"/>
  <c r="Q45"/>
  <c r="R45"/>
  <c r="S45"/>
  <c r="O46"/>
  <c r="T46" s="1"/>
  <c r="P46"/>
  <c r="Q46"/>
  <c r="R46"/>
  <c r="S46"/>
  <c r="O47"/>
  <c r="T47" s="1"/>
  <c r="P47"/>
  <c r="Q47"/>
  <c r="R47"/>
  <c r="S47"/>
  <c r="O48"/>
  <c r="T48" s="1"/>
  <c r="P48"/>
  <c r="Q48"/>
  <c r="R48"/>
  <c r="S48"/>
  <c r="O49"/>
  <c r="T49" s="1"/>
  <c r="P49"/>
  <c r="Q49"/>
  <c r="R49"/>
  <c r="S49"/>
  <c r="O50"/>
  <c r="T50" s="1"/>
  <c r="P50"/>
  <c r="Q50"/>
  <c r="R50"/>
  <c r="S50"/>
  <c r="O51"/>
  <c r="T51" s="1"/>
  <c r="P51"/>
  <c r="Q51"/>
  <c r="R51"/>
  <c r="S51"/>
  <c r="O52"/>
  <c r="T52" s="1"/>
  <c r="P52"/>
  <c r="Q52"/>
  <c r="R52"/>
  <c r="S52"/>
  <c r="O53"/>
  <c r="T53" s="1"/>
  <c r="P53"/>
  <c r="Q53"/>
  <c r="R53"/>
  <c r="S53"/>
  <c r="O54"/>
  <c r="T54" s="1"/>
  <c r="P54"/>
  <c r="Q54"/>
  <c r="R54"/>
  <c r="S54"/>
  <c r="O55"/>
  <c r="T55" s="1"/>
  <c r="P55"/>
  <c r="Q55"/>
  <c r="R55"/>
  <c r="S55"/>
  <c r="O56"/>
  <c r="T56" s="1"/>
  <c r="P56"/>
  <c r="Q56"/>
  <c r="R56"/>
  <c r="S56"/>
  <c r="O57"/>
  <c r="T57" s="1"/>
  <c r="P57"/>
  <c r="Q57"/>
  <c r="R57"/>
  <c r="S57"/>
  <c r="O58"/>
  <c r="T58" s="1"/>
  <c r="P58"/>
  <c r="Q58"/>
  <c r="R58"/>
  <c r="S58"/>
  <c r="O59"/>
  <c r="T59" s="1"/>
  <c r="P59"/>
  <c r="Q59"/>
  <c r="R59"/>
  <c r="S59"/>
  <c r="O60"/>
  <c r="T60" s="1"/>
  <c r="P60"/>
  <c r="Q60"/>
  <c r="R60"/>
  <c r="S60"/>
  <c r="O61"/>
  <c r="T61" s="1"/>
  <c r="P61"/>
  <c r="Q61"/>
  <c r="R61"/>
  <c r="S61"/>
  <c r="O62"/>
  <c r="T62" s="1"/>
  <c r="P62"/>
  <c r="Q62"/>
  <c r="R62"/>
  <c r="S62"/>
  <c r="O63"/>
  <c r="T63" s="1"/>
  <c r="P63"/>
  <c r="Q63"/>
  <c r="R63"/>
  <c r="S63"/>
  <c r="O64"/>
  <c r="T64" s="1"/>
  <c r="P64"/>
  <c r="Q64"/>
  <c r="R64"/>
  <c r="S64"/>
  <c r="O65"/>
  <c r="T65" s="1"/>
  <c r="P65"/>
  <c r="Q65"/>
  <c r="R65"/>
  <c r="S65"/>
  <c r="O66"/>
  <c r="T66" s="1"/>
  <c r="P66"/>
  <c r="Q66"/>
  <c r="R66"/>
  <c r="S66"/>
  <c r="O67"/>
  <c r="T67" s="1"/>
  <c r="P67"/>
  <c r="Q67"/>
  <c r="R67"/>
  <c r="S67"/>
  <c r="O68"/>
  <c r="T68" s="1"/>
  <c r="P68"/>
  <c r="Q68"/>
  <c r="R68"/>
  <c r="S68"/>
  <c r="O69"/>
  <c r="T69" s="1"/>
  <c r="P69"/>
  <c r="Q69"/>
  <c r="R69"/>
  <c r="S69"/>
  <c r="O70"/>
  <c r="T70" s="1"/>
  <c r="P70"/>
  <c r="Q70"/>
  <c r="R70"/>
  <c r="S70"/>
  <c r="O71"/>
  <c r="T71" s="1"/>
  <c r="P71"/>
  <c r="Q71"/>
  <c r="R71"/>
  <c r="S71"/>
  <c r="O72"/>
  <c r="T72" s="1"/>
  <c r="P72"/>
  <c r="Q72"/>
  <c r="R72"/>
  <c r="S72"/>
  <c r="O73"/>
  <c r="T73" s="1"/>
  <c r="P73"/>
  <c r="Q73"/>
  <c r="R73"/>
  <c r="S73"/>
  <c r="O74"/>
  <c r="T74" s="1"/>
  <c r="P74"/>
  <c r="Q74"/>
  <c r="R74"/>
  <c r="S74"/>
  <c r="O75"/>
  <c r="T75" s="1"/>
  <c r="P75"/>
  <c r="Q75"/>
  <c r="R75"/>
  <c r="S75"/>
  <c r="O76"/>
  <c r="T76" s="1"/>
  <c r="P76"/>
  <c r="Q76"/>
  <c r="R76"/>
  <c r="S76"/>
  <c r="O77"/>
  <c r="T77" s="1"/>
  <c r="P77"/>
  <c r="Q77"/>
  <c r="R77"/>
  <c r="S77"/>
  <c r="O78"/>
  <c r="T78" s="1"/>
  <c r="P78"/>
  <c r="Q78"/>
  <c r="R78"/>
  <c r="S78"/>
  <c r="O79"/>
  <c r="T79" s="1"/>
  <c r="P79"/>
  <c r="Q79"/>
  <c r="R79"/>
  <c r="S79"/>
  <c r="O80"/>
  <c r="T80" s="1"/>
  <c r="P80"/>
  <c r="Q80"/>
  <c r="R80"/>
  <c r="S80"/>
  <c r="O81"/>
  <c r="T81" s="1"/>
  <c r="P81"/>
  <c r="Q81"/>
  <c r="R81"/>
  <c r="S81"/>
  <c r="O82"/>
  <c r="T82" s="1"/>
  <c r="P82"/>
  <c r="Q82"/>
  <c r="R82"/>
  <c r="S82"/>
  <c r="O83"/>
  <c r="T83" s="1"/>
  <c r="P83"/>
  <c r="Q83"/>
  <c r="R83"/>
  <c r="S83"/>
  <c r="O84"/>
  <c r="T84" s="1"/>
  <c r="P84"/>
  <c r="Q84"/>
  <c r="R84"/>
  <c r="S84"/>
  <c r="O85"/>
  <c r="T85" s="1"/>
  <c r="P85"/>
  <c r="Q85"/>
  <c r="R85"/>
  <c r="S85"/>
  <c r="O86"/>
  <c r="T86" s="1"/>
  <c r="P86"/>
  <c r="Q86"/>
  <c r="R86"/>
  <c r="S86"/>
  <c r="O87"/>
  <c r="T87" s="1"/>
  <c r="P87"/>
  <c r="Q87"/>
  <c r="R87"/>
  <c r="S87"/>
  <c r="O88"/>
  <c r="T88" s="1"/>
  <c r="P88"/>
  <c r="Q88"/>
  <c r="R88"/>
  <c r="S88"/>
  <c r="O89"/>
  <c r="T89" s="1"/>
  <c r="P89"/>
  <c r="Q89"/>
  <c r="R89"/>
  <c r="S89"/>
  <c r="O90"/>
  <c r="T90" s="1"/>
  <c r="P90"/>
  <c r="Q90"/>
  <c r="R90"/>
  <c r="S90"/>
  <c r="O91"/>
  <c r="T91" s="1"/>
  <c r="P91"/>
  <c r="Q91"/>
  <c r="R91"/>
  <c r="S91"/>
  <c r="O92"/>
  <c r="T92" s="1"/>
  <c r="P92"/>
  <c r="Q92"/>
  <c r="R92"/>
  <c r="S92"/>
  <c r="O93"/>
  <c r="T93" s="1"/>
  <c r="P93"/>
  <c r="Q93"/>
  <c r="R93"/>
  <c r="S93"/>
  <c r="O94"/>
  <c r="T94" s="1"/>
  <c r="P94"/>
  <c r="Q94"/>
  <c r="R94"/>
  <c r="S94"/>
  <c r="O95"/>
  <c r="T95" s="1"/>
  <c r="P95"/>
  <c r="Q95"/>
  <c r="R95"/>
  <c r="S95"/>
  <c r="O96"/>
  <c r="T96" s="1"/>
  <c r="P96"/>
  <c r="Q96"/>
  <c r="R96"/>
  <c r="S96"/>
  <c r="O97"/>
  <c r="T97" s="1"/>
  <c r="P97"/>
  <c r="Q97"/>
  <c r="R97"/>
  <c r="S97"/>
  <c r="O98"/>
  <c r="T98" s="1"/>
  <c r="P98"/>
  <c r="Q98"/>
  <c r="R98"/>
  <c r="S98"/>
  <c r="O99"/>
  <c r="T99" s="1"/>
  <c r="P99"/>
  <c r="Q99"/>
  <c r="R99"/>
  <c r="S99"/>
  <c r="O100"/>
  <c r="T100" s="1"/>
  <c r="P100"/>
  <c r="Q100"/>
  <c r="R100"/>
  <c r="S100"/>
  <c r="O101"/>
  <c r="T101" s="1"/>
  <c r="P101"/>
  <c r="Q101"/>
  <c r="R101"/>
  <c r="S101"/>
  <c r="O102"/>
  <c r="T102" s="1"/>
  <c r="P102"/>
  <c r="Q102"/>
  <c r="R102"/>
  <c r="S102"/>
  <c r="O103"/>
  <c r="T103" s="1"/>
  <c r="P103"/>
  <c r="Q103"/>
  <c r="R103"/>
  <c r="S103"/>
  <c r="A1" i="12"/>
  <c r="B2"/>
  <c r="K2"/>
  <c r="D1" i="4"/>
  <c r="A1" i="6" s="1"/>
  <c r="D2" i="4"/>
  <c r="N2"/>
  <c r="C6"/>
  <c r="D6"/>
  <c r="E6"/>
  <c r="F6"/>
  <c r="G6"/>
  <c r="H6"/>
  <c r="I6"/>
  <c r="J6"/>
  <c r="K6"/>
  <c r="L6"/>
  <c r="C7"/>
  <c r="D7"/>
  <c r="E7"/>
  <c r="F7"/>
  <c r="G7"/>
  <c r="H7"/>
  <c r="I7"/>
  <c r="J7"/>
  <c r="K7"/>
  <c r="L7"/>
  <c r="C8"/>
  <c r="D8"/>
  <c r="E8"/>
  <c r="F8"/>
  <c r="G8"/>
  <c r="H8"/>
  <c r="I8"/>
  <c r="J8"/>
  <c r="K8"/>
  <c r="L8"/>
  <c r="C9"/>
  <c r="D9"/>
  <c r="E9"/>
  <c r="F9"/>
  <c r="G9"/>
  <c r="H9"/>
  <c r="I9"/>
  <c r="J9"/>
  <c r="K9"/>
  <c r="L9"/>
  <c r="C10"/>
  <c r="D10"/>
  <c r="E10"/>
  <c r="F10"/>
  <c r="G10"/>
  <c r="H10"/>
  <c r="I10"/>
  <c r="J10"/>
  <c r="K10"/>
  <c r="L10"/>
  <c r="C11"/>
  <c r="D11"/>
  <c r="E11"/>
  <c r="F11"/>
  <c r="G11"/>
  <c r="H11"/>
  <c r="I11"/>
  <c r="J11"/>
  <c r="K11"/>
  <c r="L11"/>
  <c r="C12"/>
  <c r="D12"/>
  <c r="E12"/>
  <c r="F12"/>
  <c r="G12"/>
  <c r="H12"/>
  <c r="I12"/>
  <c r="J12"/>
  <c r="K12"/>
  <c r="L12"/>
  <c r="C13"/>
  <c r="D13"/>
  <c r="E13"/>
  <c r="F13"/>
  <c r="G13"/>
  <c r="H13"/>
  <c r="I13"/>
  <c r="J13"/>
  <c r="K13"/>
  <c r="L13"/>
  <c r="C14"/>
  <c r="D14"/>
  <c r="E14"/>
  <c r="F14"/>
  <c r="G14"/>
  <c r="H14"/>
  <c r="I14"/>
  <c r="J14"/>
  <c r="K14"/>
  <c r="L14"/>
  <c r="C15"/>
  <c r="D15"/>
  <c r="E15"/>
  <c r="F15"/>
  <c r="G15"/>
  <c r="H15"/>
  <c r="I15"/>
  <c r="J15"/>
  <c r="K15"/>
  <c r="L15"/>
  <c r="C16"/>
  <c r="D16"/>
  <c r="E16"/>
  <c r="F16"/>
  <c r="G16"/>
  <c r="H16"/>
  <c r="I16"/>
  <c r="J16"/>
  <c r="K16"/>
  <c r="L16"/>
  <c r="C17"/>
  <c r="D17"/>
  <c r="E17"/>
  <c r="F17"/>
  <c r="G17"/>
  <c r="H17"/>
  <c r="I17"/>
  <c r="J17"/>
  <c r="K17"/>
  <c r="L17"/>
  <c r="C18"/>
  <c r="D18"/>
  <c r="E18"/>
  <c r="F18"/>
  <c r="G18"/>
  <c r="H18"/>
  <c r="I18"/>
  <c r="J18"/>
  <c r="K18"/>
  <c r="L18"/>
  <c r="C19"/>
  <c r="D19"/>
  <c r="E19"/>
  <c r="F19"/>
  <c r="G19"/>
  <c r="H19"/>
  <c r="I19"/>
  <c r="J19"/>
  <c r="K19"/>
  <c r="L19"/>
  <c r="C20"/>
  <c r="D20"/>
  <c r="E20"/>
  <c r="F20"/>
  <c r="G20"/>
  <c r="H20"/>
  <c r="I20"/>
  <c r="J20"/>
  <c r="K20"/>
  <c r="L20"/>
  <c r="C21"/>
  <c r="D21"/>
  <c r="E21"/>
  <c r="F21"/>
  <c r="G21"/>
  <c r="H21"/>
  <c r="I21"/>
  <c r="J21"/>
  <c r="K21"/>
  <c r="L21"/>
  <c r="C22"/>
  <c r="D22"/>
  <c r="E22"/>
  <c r="F22"/>
  <c r="G22"/>
  <c r="H22"/>
  <c r="I22"/>
  <c r="J22"/>
  <c r="K22"/>
  <c r="L22"/>
  <c r="C23"/>
  <c r="D23"/>
  <c r="F23"/>
  <c r="G23"/>
  <c r="H23"/>
  <c r="I23"/>
  <c r="J23"/>
  <c r="K23"/>
  <c r="L23"/>
  <c r="C24"/>
  <c r="D24"/>
  <c r="E24"/>
  <c r="F24"/>
  <c r="G24"/>
  <c r="H24"/>
  <c r="I24"/>
  <c r="J24"/>
  <c r="K24"/>
  <c r="L24"/>
  <c r="C25"/>
  <c r="D25"/>
  <c r="E25"/>
  <c r="F25"/>
  <c r="H25"/>
  <c r="I25"/>
  <c r="J25"/>
  <c r="K25"/>
  <c r="L25"/>
  <c r="C26"/>
  <c r="D26"/>
  <c r="E26"/>
  <c r="F26"/>
  <c r="G26"/>
  <c r="H26"/>
  <c r="I26"/>
  <c r="J26"/>
  <c r="K26"/>
  <c r="L26"/>
  <c r="C27"/>
  <c r="D27"/>
  <c r="E27"/>
  <c r="F27"/>
  <c r="G27"/>
  <c r="H27"/>
  <c r="I27"/>
  <c r="J27"/>
  <c r="K27"/>
  <c r="L27"/>
  <c r="C28"/>
  <c r="D28"/>
  <c r="E28"/>
  <c r="F28"/>
  <c r="G28"/>
  <c r="H28"/>
  <c r="I28"/>
  <c r="J28"/>
  <c r="K28"/>
  <c r="L28"/>
  <c r="C29"/>
  <c r="D29"/>
  <c r="E29"/>
  <c r="F29"/>
  <c r="G29"/>
  <c r="H29"/>
  <c r="I29"/>
  <c r="J29"/>
  <c r="K29"/>
  <c r="L29"/>
  <c r="C30"/>
  <c r="D30"/>
  <c r="E30"/>
  <c r="F30"/>
  <c r="G30"/>
  <c r="H30"/>
  <c r="I30"/>
  <c r="J30"/>
  <c r="K30"/>
  <c r="L30"/>
  <c r="C31"/>
  <c r="D31"/>
  <c r="E31"/>
  <c r="F31"/>
  <c r="G31"/>
  <c r="H31"/>
  <c r="I31"/>
  <c r="J31"/>
  <c r="K31"/>
  <c r="L31"/>
  <c r="C32"/>
  <c r="D32"/>
  <c r="E32"/>
  <c r="F32"/>
  <c r="G32"/>
  <c r="H32"/>
  <c r="I32"/>
  <c r="J32"/>
  <c r="K32"/>
  <c r="L32"/>
  <c r="C33"/>
  <c r="D33"/>
  <c r="E33"/>
  <c r="F33"/>
  <c r="G33"/>
  <c r="H33"/>
  <c r="I33"/>
  <c r="J33"/>
  <c r="K33"/>
  <c r="L33"/>
  <c r="C34"/>
  <c r="D34"/>
  <c r="E34"/>
  <c r="F34"/>
  <c r="G34"/>
  <c r="H34"/>
  <c r="I34"/>
  <c r="J34"/>
  <c r="K34"/>
  <c r="L34"/>
  <c r="C35"/>
  <c r="D35"/>
  <c r="E35"/>
  <c r="F35"/>
  <c r="G35"/>
  <c r="H35"/>
  <c r="I35"/>
  <c r="J35"/>
  <c r="K35"/>
  <c r="L35"/>
  <c r="C36"/>
  <c r="D36"/>
  <c r="E36"/>
  <c r="F36"/>
  <c r="G36"/>
  <c r="H36"/>
  <c r="I36"/>
  <c r="J36"/>
  <c r="K36"/>
  <c r="L36"/>
  <c r="C37"/>
  <c r="D37"/>
  <c r="E37"/>
  <c r="F37"/>
  <c r="G37"/>
  <c r="H37"/>
  <c r="I37"/>
  <c r="J37"/>
  <c r="K37"/>
  <c r="L37"/>
  <c r="C38"/>
  <c r="D38"/>
  <c r="E38"/>
  <c r="F38"/>
  <c r="G38"/>
  <c r="H38"/>
  <c r="I38"/>
  <c r="J38"/>
  <c r="K38"/>
  <c r="L38"/>
  <c r="C39"/>
  <c r="D39"/>
  <c r="E39"/>
  <c r="F39"/>
  <c r="G39"/>
  <c r="H39"/>
  <c r="I39"/>
  <c r="J39"/>
  <c r="K39"/>
  <c r="L39"/>
  <c r="C40"/>
  <c r="D40"/>
  <c r="E40"/>
  <c r="F40"/>
  <c r="G40"/>
  <c r="H40"/>
  <c r="I40"/>
  <c r="J40"/>
  <c r="K40"/>
  <c r="L40"/>
  <c r="C41"/>
  <c r="D41"/>
  <c r="E41"/>
  <c r="F41"/>
  <c r="G41"/>
  <c r="H41"/>
  <c r="I41"/>
  <c r="J41"/>
  <c r="K41"/>
  <c r="L41"/>
  <c r="C42"/>
  <c r="D42"/>
  <c r="E42"/>
  <c r="F42"/>
  <c r="G42"/>
  <c r="H42"/>
  <c r="I42"/>
  <c r="J42"/>
  <c r="K42"/>
  <c r="L42"/>
  <c r="C43"/>
  <c r="D43"/>
  <c r="E43"/>
  <c r="F43"/>
  <c r="G43"/>
  <c r="H43"/>
  <c r="I43"/>
  <c r="J43"/>
  <c r="K43"/>
  <c r="L43"/>
  <c r="C44"/>
  <c r="D44"/>
  <c r="E44"/>
  <c r="F44"/>
  <c r="G44"/>
  <c r="H44"/>
  <c r="I44"/>
  <c r="J44"/>
  <c r="K44"/>
  <c r="L44"/>
  <c r="C45"/>
  <c r="D45"/>
  <c r="E45"/>
  <c r="F45"/>
  <c r="G45"/>
  <c r="H45"/>
  <c r="I45"/>
  <c r="J45"/>
  <c r="K45"/>
  <c r="L45"/>
  <c r="C46"/>
  <c r="D46"/>
  <c r="E46"/>
  <c r="F46"/>
  <c r="G46"/>
  <c r="H46"/>
  <c r="I46"/>
  <c r="J46"/>
  <c r="K46"/>
  <c r="L46"/>
  <c r="C47"/>
  <c r="D47"/>
  <c r="E47"/>
  <c r="F47"/>
  <c r="G47"/>
  <c r="H47"/>
  <c r="I47"/>
  <c r="J47"/>
  <c r="K47"/>
  <c r="L47"/>
  <c r="C48"/>
  <c r="D48"/>
  <c r="E48"/>
  <c r="F48"/>
  <c r="G48"/>
  <c r="H48"/>
  <c r="I48"/>
  <c r="J48"/>
  <c r="K48"/>
  <c r="L48"/>
  <c r="C49"/>
  <c r="D49"/>
  <c r="E49"/>
  <c r="F49"/>
  <c r="G49"/>
  <c r="H49"/>
  <c r="I49"/>
  <c r="J49"/>
  <c r="K49"/>
  <c r="L49"/>
  <c r="C50"/>
  <c r="D50"/>
  <c r="E50"/>
  <c r="F50"/>
  <c r="G50"/>
  <c r="H50"/>
  <c r="I50"/>
  <c r="J50"/>
  <c r="K50"/>
  <c r="L50"/>
  <c r="C51"/>
  <c r="D51"/>
  <c r="E51"/>
  <c r="F51"/>
  <c r="G51"/>
  <c r="H51"/>
  <c r="I51"/>
  <c r="J51"/>
  <c r="K51"/>
  <c r="L51"/>
  <c r="C52"/>
  <c r="D52"/>
  <c r="E52"/>
  <c r="F52"/>
  <c r="G52"/>
  <c r="H52"/>
  <c r="I52"/>
  <c r="J52"/>
  <c r="K52"/>
  <c r="L52"/>
  <c r="C53"/>
  <c r="D53"/>
  <c r="E53"/>
  <c r="F53"/>
  <c r="G53"/>
  <c r="H53"/>
  <c r="I53"/>
  <c r="J53"/>
  <c r="K53"/>
  <c r="L53"/>
  <c r="C54"/>
  <c r="D54"/>
  <c r="E54"/>
  <c r="F54"/>
  <c r="G54"/>
  <c r="H54"/>
  <c r="I54"/>
  <c r="J54"/>
  <c r="K54"/>
  <c r="L54"/>
  <c r="C55"/>
  <c r="D55"/>
  <c r="E55"/>
  <c r="F55"/>
  <c r="G55"/>
  <c r="H55"/>
  <c r="I55"/>
  <c r="J55"/>
  <c r="K55"/>
  <c r="L55"/>
  <c r="C56"/>
  <c r="D56"/>
  <c r="E56"/>
  <c r="F56"/>
  <c r="G56"/>
  <c r="H56"/>
  <c r="I56"/>
  <c r="J56"/>
  <c r="K56"/>
  <c r="L56"/>
  <c r="C57"/>
  <c r="D57"/>
  <c r="E57"/>
  <c r="F57"/>
  <c r="G57"/>
  <c r="H57"/>
  <c r="I57"/>
  <c r="J57"/>
  <c r="K57"/>
  <c r="L57"/>
  <c r="C58"/>
  <c r="D58"/>
  <c r="E58"/>
  <c r="F58"/>
  <c r="G58"/>
  <c r="H58"/>
  <c r="I58"/>
  <c r="J58"/>
  <c r="K58"/>
  <c r="L58"/>
  <c r="C59"/>
  <c r="D59"/>
  <c r="E59"/>
  <c r="F59"/>
  <c r="G59"/>
  <c r="H59"/>
  <c r="I59"/>
  <c r="J59"/>
  <c r="K59"/>
  <c r="L59"/>
  <c r="C60"/>
  <c r="D60"/>
  <c r="E60"/>
  <c r="F60"/>
  <c r="G60"/>
  <c r="H60"/>
  <c r="I60"/>
  <c r="J60"/>
  <c r="K60"/>
  <c r="L60"/>
  <c r="C61"/>
  <c r="D61"/>
  <c r="E61"/>
  <c r="F61"/>
  <c r="G61"/>
  <c r="H61"/>
  <c r="I61"/>
  <c r="J61"/>
  <c r="K61"/>
  <c r="L61"/>
  <c r="C62"/>
  <c r="D62"/>
  <c r="E62"/>
  <c r="F62"/>
  <c r="G62"/>
  <c r="H62"/>
  <c r="I62"/>
  <c r="J62"/>
  <c r="K62"/>
  <c r="L62"/>
  <c r="C63"/>
  <c r="D63"/>
  <c r="E63"/>
  <c r="F63"/>
  <c r="G63"/>
  <c r="H63"/>
  <c r="I63"/>
  <c r="J63"/>
  <c r="K63"/>
  <c r="L63"/>
  <c r="C64"/>
  <c r="D64"/>
  <c r="E64"/>
  <c r="F64"/>
  <c r="G64"/>
  <c r="H64"/>
  <c r="I64"/>
  <c r="J64"/>
  <c r="K64"/>
  <c r="L64"/>
  <c r="C65"/>
  <c r="D65"/>
  <c r="E65"/>
  <c r="F65"/>
  <c r="G65"/>
  <c r="H65"/>
  <c r="I65"/>
  <c r="J65"/>
  <c r="K65"/>
  <c r="L65"/>
  <c r="C66"/>
  <c r="D66"/>
  <c r="E66"/>
  <c r="F66"/>
  <c r="G66"/>
  <c r="H66"/>
  <c r="I66"/>
  <c r="J66"/>
  <c r="K66"/>
  <c r="L66"/>
  <c r="C67"/>
  <c r="D67"/>
  <c r="E67"/>
  <c r="F67"/>
  <c r="G67"/>
  <c r="H67"/>
  <c r="I67"/>
  <c r="J67"/>
  <c r="K67"/>
  <c r="L67"/>
  <c r="C68"/>
  <c r="D68"/>
  <c r="E68"/>
  <c r="F68"/>
  <c r="G68"/>
  <c r="H68"/>
  <c r="I68"/>
  <c r="J68"/>
  <c r="K68"/>
  <c r="L68"/>
  <c r="C69"/>
  <c r="D69"/>
  <c r="E69"/>
  <c r="F69"/>
  <c r="G69"/>
  <c r="H69"/>
  <c r="I69"/>
  <c r="J69"/>
  <c r="K69"/>
  <c r="L69"/>
  <c r="C70"/>
  <c r="D70"/>
  <c r="E70"/>
  <c r="F70"/>
  <c r="G70"/>
  <c r="H70"/>
  <c r="I70"/>
  <c r="J70"/>
  <c r="K70"/>
  <c r="L70"/>
  <c r="A1" i="3"/>
  <c r="A2"/>
  <c r="H2"/>
  <c r="A2" i="6"/>
  <c r="G2"/>
  <c r="A1" i="7"/>
  <c r="A2"/>
  <c r="H2"/>
  <c r="H2" i="8"/>
  <c r="A2"/>
  <c r="A1" l="1"/>
  <c r="U64" i="2"/>
  <c r="U68"/>
  <c r="U73"/>
  <c r="U58"/>
  <c r="U48"/>
  <c r="U52"/>
  <c r="U62"/>
  <c r="R65" i="4"/>
  <c r="R62"/>
  <c r="R60"/>
  <c r="R54"/>
  <c r="R51"/>
  <c r="R49"/>
  <c r="R48"/>
  <c r="R41"/>
  <c r="R34"/>
  <c r="R32"/>
  <c r="R30"/>
  <c r="R28"/>
  <c r="R24"/>
  <c r="R23"/>
  <c r="R22"/>
  <c r="R20"/>
  <c r="R18"/>
  <c r="R16"/>
  <c r="R7"/>
  <c r="R68"/>
  <c r="R64"/>
  <c r="R63"/>
  <c r="R61"/>
  <c r="R59"/>
  <c r="R57"/>
  <c r="R53"/>
  <c r="R50"/>
  <c r="R47"/>
  <c r="R46"/>
  <c r="R35"/>
  <c r="R33"/>
  <c r="R31"/>
  <c r="R29"/>
  <c r="R27"/>
  <c r="R26"/>
  <c r="R21"/>
  <c r="R19"/>
  <c r="R17"/>
  <c r="R15"/>
  <c r="R14"/>
  <c r="R8"/>
  <c r="R70"/>
  <c r="R42"/>
  <c r="R40"/>
  <c r="R38"/>
  <c r="R12"/>
  <c r="R10"/>
  <c r="R69"/>
  <c r="R43"/>
  <c r="R39"/>
  <c r="R37"/>
  <c r="R13"/>
  <c r="R11"/>
  <c r="R45"/>
  <c r="A2" i="9"/>
  <c r="A2" i="19"/>
  <c r="H2" i="9"/>
  <c r="H2" i="19"/>
  <c r="A1" i="9"/>
  <c r="A1" i="19"/>
  <c r="R25" i="4"/>
  <c r="C36" i="17"/>
  <c r="G36"/>
  <c r="D36"/>
  <c r="H36"/>
  <c r="E36"/>
  <c r="I36"/>
  <c r="F36"/>
  <c r="F35"/>
  <c r="C35"/>
  <c r="G35"/>
  <c r="D35"/>
  <c r="H35"/>
  <c r="E35"/>
  <c r="I35"/>
  <c r="C34"/>
  <c r="G34"/>
  <c r="D34"/>
  <c r="H34"/>
  <c r="E34"/>
  <c r="I34"/>
  <c r="F34"/>
  <c r="F33"/>
  <c r="C33"/>
  <c r="G33"/>
  <c r="D33"/>
  <c r="H33"/>
  <c r="E33"/>
  <c r="I33"/>
  <c r="C32"/>
  <c r="G32"/>
  <c r="D32"/>
  <c r="H32"/>
  <c r="E32"/>
  <c r="I32"/>
  <c r="F32"/>
  <c r="F31"/>
  <c r="C31"/>
  <c r="G31"/>
  <c r="D31"/>
  <c r="H31"/>
  <c r="E31"/>
  <c r="I31"/>
  <c r="E13"/>
  <c r="I13"/>
  <c r="F13"/>
  <c r="C13"/>
  <c r="G13"/>
  <c r="D13"/>
  <c r="H13"/>
  <c r="I12" i="5"/>
  <c r="A10" i="17"/>
  <c r="I30"/>
  <c r="G30"/>
  <c r="E30"/>
  <c r="C30"/>
  <c r="I29"/>
  <c r="G29"/>
  <c r="E29"/>
  <c r="C29"/>
  <c r="I27"/>
  <c r="G27"/>
  <c r="E27"/>
  <c r="C27"/>
  <c r="I24"/>
  <c r="G24"/>
  <c r="E24"/>
  <c r="C24"/>
  <c r="I23"/>
  <c r="G23"/>
  <c r="E23"/>
  <c r="C23"/>
  <c r="I22"/>
  <c r="G22"/>
  <c r="E22"/>
  <c r="C22"/>
  <c r="I21"/>
  <c r="G21"/>
  <c r="E21"/>
  <c r="C21"/>
  <c r="I18"/>
  <c r="G18"/>
  <c r="E18"/>
  <c r="C18"/>
  <c r="I17"/>
  <c r="G17"/>
  <c r="E17"/>
  <c r="C17"/>
  <c r="I15"/>
  <c r="G15"/>
  <c r="E15"/>
  <c r="C15"/>
  <c r="I12"/>
  <c r="G12"/>
  <c r="E12"/>
  <c r="C12"/>
  <c r="I11"/>
  <c r="G11"/>
  <c r="E11"/>
  <c r="C11"/>
  <c r="I7"/>
  <c r="G7"/>
  <c r="E7"/>
  <c r="C7"/>
  <c r="H30"/>
  <c r="F30"/>
  <c r="D30"/>
  <c r="H29"/>
  <c r="F29"/>
  <c r="D29"/>
  <c r="H27"/>
  <c r="F27"/>
  <c r="D27"/>
  <c r="H24"/>
  <c r="F24"/>
  <c r="D24"/>
  <c r="H23"/>
  <c r="F23"/>
  <c r="D23"/>
  <c r="H22"/>
  <c r="F22"/>
  <c r="D22"/>
  <c r="H21"/>
  <c r="F21"/>
  <c r="D21"/>
  <c r="H18"/>
  <c r="F18"/>
  <c r="D18"/>
  <c r="H17"/>
  <c r="F17"/>
  <c r="D17"/>
  <c r="H15"/>
  <c r="F15"/>
  <c r="D15"/>
  <c r="H12"/>
  <c r="F12"/>
  <c r="D12"/>
  <c r="H11"/>
  <c r="F11"/>
  <c r="D11"/>
  <c r="H7"/>
  <c r="F7"/>
  <c r="D7"/>
  <c r="H28"/>
  <c r="F28"/>
  <c r="D28"/>
  <c r="H26"/>
  <c r="F26"/>
  <c r="D26"/>
  <c r="H25"/>
  <c r="F25"/>
  <c r="D25"/>
  <c r="H20"/>
  <c r="F20"/>
  <c r="D20"/>
  <c r="H19"/>
  <c r="F19"/>
  <c r="D19"/>
  <c r="H16"/>
  <c r="F16"/>
  <c r="D16"/>
  <c r="I14"/>
  <c r="G14"/>
  <c r="E14"/>
  <c r="C14"/>
  <c r="H10"/>
  <c r="F10"/>
  <c r="D10"/>
  <c r="H9"/>
  <c r="F9"/>
  <c r="D9"/>
  <c r="H8"/>
  <c r="F8"/>
  <c r="D8"/>
  <c r="H6"/>
  <c r="F6"/>
  <c r="D6"/>
  <c r="I28"/>
  <c r="G28"/>
  <c r="E28"/>
  <c r="C28"/>
  <c r="I26"/>
  <c r="G26"/>
  <c r="E26"/>
  <c r="C26"/>
  <c r="I25"/>
  <c r="G25"/>
  <c r="E25"/>
  <c r="C25"/>
  <c r="I20"/>
  <c r="G20"/>
  <c r="E20"/>
  <c r="C20"/>
  <c r="I19"/>
  <c r="G19"/>
  <c r="E19"/>
  <c r="C19"/>
  <c r="I16"/>
  <c r="G16"/>
  <c r="E16"/>
  <c r="C16"/>
  <c r="H14"/>
  <c r="F14"/>
  <c r="D14"/>
  <c r="I10"/>
  <c r="G10"/>
  <c r="E10"/>
  <c r="C10"/>
  <c r="I9"/>
  <c r="G9"/>
  <c r="E9"/>
  <c r="C9"/>
  <c r="I8"/>
  <c r="G8"/>
  <c r="E8"/>
  <c r="C8"/>
  <c r="I6"/>
  <c r="G6"/>
  <c r="E6"/>
  <c r="C6"/>
  <c r="D9" i="12"/>
  <c r="D9" i="2"/>
  <c r="E9" s="1"/>
  <c r="T9" s="1"/>
  <c r="R6" i="4" s="1"/>
  <c r="P22"/>
  <c r="O20"/>
  <c r="O13"/>
  <c r="O11"/>
  <c r="O7"/>
  <c r="P48"/>
  <c r="P45"/>
  <c r="P41"/>
  <c r="P39"/>
  <c r="P32"/>
  <c r="P28"/>
  <c r="P24"/>
  <c r="O21"/>
  <c r="O17"/>
  <c r="O14"/>
  <c r="O12"/>
  <c r="O10"/>
  <c r="O6"/>
  <c r="P51"/>
  <c r="N19"/>
  <c r="P54"/>
  <c r="P65"/>
  <c r="P62"/>
  <c r="P58"/>
  <c r="O15"/>
  <c r="O8"/>
  <c r="O16"/>
  <c r="O9"/>
  <c r="P70"/>
  <c r="P67"/>
  <c r="P60"/>
  <c r="P56"/>
  <c r="P52"/>
  <c r="P49"/>
  <c r="P43"/>
  <c r="P37"/>
  <c r="P34"/>
  <c r="P30"/>
  <c r="P25"/>
  <c r="P23"/>
  <c r="P20"/>
  <c r="N18"/>
  <c r="P21"/>
  <c r="P18"/>
  <c r="M17"/>
  <c r="M15"/>
  <c r="M14"/>
  <c r="M12"/>
  <c r="M10"/>
  <c r="M8"/>
  <c r="M6"/>
  <c r="N20"/>
  <c r="P19"/>
  <c r="N68"/>
  <c r="N66"/>
  <c r="N64"/>
  <c r="N63"/>
  <c r="N61"/>
  <c r="N59"/>
  <c r="N57"/>
  <c r="N55"/>
  <c r="N53"/>
  <c r="N50"/>
  <c r="N47"/>
  <c r="N46"/>
  <c r="N44"/>
  <c r="N42"/>
  <c r="N40"/>
  <c r="N38"/>
  <c r="N36"/>
  <c r="N35"/>
  <c r="N33"/>
  <c r="N31"/>
  <c r="N29"/>
  <c r="N27"/>
  <c r="N26"/>
  <c r="N69"/>
  <c r="P69"/>
  <c r="P68"/>
  <c r="N67"/>
  <c r="P66"/>
  <c r="N65"/>
  <c r="P64"/>
  <c r="P63"/>
  <c r="N62"/>
  <c r="P61"/>
  <c r="N60"/>
  <c r="P59"/>
  <c r="N58"/>
  <c r="P57"/>
  <c r="N56"/>
  <c r="P55"/>
  <c r="N54"/>
  <c r="P53"/>
  <c r="N52"/>
  <c r="N51"/>
  <c r="P50"/>
  <c r="N49"/>
  <c r="N48"/>
  <c r="P47"/>
  <c r="P46"/>
  <c r="N45"/>
  <c r="P44"/>
  <c r="N43"/>
  <c r="P42"/>
  <c r="N41"/>
  <c r="P40"/>
  <c r="N39"/>
  <c r="P38"/>
  <c r="N37"/>
  <c r="P36"/>
  <c r="P35"/>
  <c r="N34"/>
  <c r="P33"/>
  <c r="N32"/>
  <c r="P31"/>
  <c r="N30"/>
  <c r="P29"/>
  <c r="N28"/>
  <c r="P27"/>
  <c r="P26"/>
  <c r="N25"/>
  <c r="N24"/>
  <c r="N23"/>
  <c r="N22"/>
  <c r="O18"/>
  <c r="M18"/>
  <c r="Q17"/>
  <c r="Q16"/>
  <c r="M16"/>
  <c r="Q15"/>
  <c r="Q14"/>
  <c r="Q13"/>
  <c r="M13"/>
  <c r="Q12"/>
  <c r="Q11"/>
  <c r="M11"/>
  <c r="Q10"/>
  <c r="Q9"/>
  <c r="M9"/>
  <c r="Q8"/>
  <c r="Q7"/>
  <c r="M7"/>
  <c r="Q6"/>
  <c r="N70"/>
  <c r="N21"/>
  <c r="N17"/>
  <c r="N15"/>
  <c r="N14"/>
  <c r="N12"/>
  <c r="N10"/>
  <c r="N8"/>
  <c r="N6"/>
  <c r="M68"/>
  <c r="O68"/>
  <c r="M67"/>
  <c r="O67"/>
  <c r="M66"/>
  <c r="O66"/>
  <c r="M65"/>
  <c r="O65"/>
  <c r="M64"/>
  <c r="O64"/>
  <c r="M63"/>
  <c r="O63"/>
  <c r="M62"/>
  <c r="O62"/>
  <c r="M61"/>
  <c r="O61"/>
  <c r="M60"/>
  <c r="O60"/>
  <c r="M59"/>
  <c r="O59"/>
  <c r="M58"/>
  <c r="O58"/>
  <c r="M57"/>
  <c r="O57"/>
  <c r="M56"/>
  <c r="O56"/>
  <c r="M55"/>
  <c r="O55"/>
  <c r="M54"/>
  <c r="O54"/>
  <c r="M53"/>
  <c r="O53"/>
  <c r="M52"/>
  <c r="O52"/>
  <c r="M51"/>
  <c r="O51"/>
  <c r="M50"/>
  <c r="O50"/>
  <c r="M49"/>
  <c r="O49"/>
  <c r="M48"/>
  <c r="O48"/>
  <c r="M47"/>
  <c r="O47"/>
  <c r="M46"/>
  <c r="O46"/>
  <c r="M45"/>
  <c r="O45"/>
  <c r="M44"/>
  <c r="O44"/>
  <c r="M43"/>
  <c r="O43"/>
  <c r="M42"/>
  <c r="O42"/>
  <c r="M41"/>
  <c r="O41"/>
  <c r="M40"/>
  <c r="O40"/>
  <c r="M39"/>
  <c r="O39"/>
  <c r="M38"/>
  <c r="O38"/>
  <c r="M37"/>
  <c r="O37"/>
  <c r="M36"/>
  <c r="O36"/>
  <c r="M35"/>
  <c r="O35"/>
  <c r="M34"/>
  <c r="O34"/>
  <c r="M33"/>
  <c r="O33"/>
  <c r="M32"/>
  <c r="O32"/>
  <c r="M31"/>
  <c r="O31"/>
  <c r="M30"/>
  <c r="O30"/>
  <c r="M29"/>
  <c r="O29"/>
  <c r="M28"/>
  <c r="O28"/>
  <c r="M27"/>
  <c r="O27"/>
  <c r="M26"/>
  <c r="O26"/>
  <c r="M25"/>
  <c r="O25"/>
  <c r="M24"/>
  <c r="O24"/>
  <c r="M23"/>
  <c r="O23"/>
  <c r="M22"/>
  <c r="O22"/>
  <c r="M21"/>
  <c r="M20"/>
  <c r="M19"/>
  <c r="Q18"/>
  <c r="N16"/>
  <c r="N13"/>
  <c r="N11"/>
  <c r="N9"/>
  <c r="N7"/>
  <c r="M69"/>
  <c r="Q69"/>
  <c r="O69"/>
  <c r="M70"/>
  <c r="Q70"/>
  <c r="O70"/>
  <c r="P17"/>
  <c r="P16"/>
  <c r="P15"/>
  <c r="P14"/>
  <c r="P13"/>
  <c r="P12"/>
  <c r="P11"/>
  <c r="P10"/>
  <c r="P9"/>
  <c r="P8"/>
  <c r="P7"/>
  <c r="P6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O19"/>
  <c r="E23"/>
  <c r="G11" i="12" l="1"/>
  <c r="N17" i="17"/>
  <c r="L21"/>
  <c r="L23"/>
  <c r="L27"/>
  <c r="N12"/>
  <c r="N27"/>
  <c r="L15"/>
  <c r="M30"/>
  <c r="N21"/>
  <c r="R44" i="4"/>
  <c r="J29" i="17"/>
  <c r="K30"/>
  <c r="L12"/>
  <c r="J17"/>
  <c r="N23"/>
  <c r="L17"/>
  <c r="M18"/>
  <c r="K22"/>
  <c r="J24"/>
  <c r="K7"/>
  <c r="J12"/>
  <c r="J21"/>
  <c r="J23"/>
  <c r="J27"/>
  <c r="J30"/>
  <c r="J11"/>
  <c r="J15"/>
  <c r="L18"/>
  <c r="M22"/>
  <c r="M24"/>
  <c r="L29"/>
  <c r="G7" i="12"/>
  <c r="L7" i="17"/>
  <c r="H6" i="12"/>
  <c r="H13"/>
  <c r="K12" i="17"/>
  <c r="K21"/>
  <c r="K23"/>
  <c r="K27"/>
  <c r="L30"/>
  <c r="N30"/>
  <c r="N11"/>
  <c r="N18"/>
  <c r="N24"/>
  <c r="N29"/>
  <c r="K11"/>
  <c r="F11" i="12"/>
  <c r="J7" i="17"/>
  <c r="N7"/>
  <c r="M7"/>
  <c r="M12"/>
  <c r="M15"/>
  <c r="K17"/>
  <c r="M21"/>
  <c r="J22"/>
  <c r="M23"/>
  <c r="M27"/>
  <c r="C6" i="12"/>
  <c r="F7"/>
  <c r="I14"/>
  <c r="G12"/>
  <c r="E10"/>
  <c r="C8"/>
  <c r="I13"/>
  <c r="L11" i="17"/>
  <c r="M11"/>
  <c r="K15"/>
  <c r="N15"/>
  <c r="M17"/>
  <c r="K18"/>
  <c r="J18"/>
  <c r="L22"/>
  <c r="N22"/>
  <c r="L24"/>
  <c r="K24"/>
  <c r="K29"/>
  <c r="M29"/>
  <c r="N31"/>
  <c r="M31"/>
  <c r="J31"/>
  <c r="L31"/>
  <c r="K31"/>
  <c r="N32"/>
  <c r="J32"/>
  <c r="K32"/>
  <c r="M32"/>
  <c r="L32"/>
  <c r="N33"/>
  <c r="J33"/>
  <c r="M33"/>
  <c r="L33"/>
  <c r="K33"/>
  <c r="N34"/>
  <c r="M34"/>
  <c r="J34"/>
  <c r="K34"/>
  <c r="L34"/>
  <c r="N35"/>
  <c r="J35"/>
  <c r="M35"/>
  <c r="L35"/>
  <c r="K35"/>
  <c r="N36"/>
  <c r="M36"/>
  <c r="J36"/>
  <c r="K36"/>
  <c r="L36"/>
  <c r="I13" i="5"/>
  <c r="A11" i="17"/>
  <c r="N13"/>
  <c r="K13"/>
  <c r="J13"/>
  <c r="M13"/>
  <c r="L13"/>
  <c r="N8"/>
  <c r="J8"/>
  <c r="K8"/>
  <c r="M8"/>
  <c r="L8"/>
  <c r="J10"/>
  <c r="N10"/>
  <c r="K10"/>
  <c r="M10"/>
  <c r="L10"/>
  <c r="N19"/>
  <c r="J19"/>
  <c r="M19"/>
  <c r="L19"/>
  <c r="K19"/>
  <c r="N25"/>
  <c r="J25"/>
  <c r="M25"/>
  <c r="L25"/>
  <c r="K25"/>
  <c r="N28"/>
  <c r="J28"/>
  <c r="K28"/>
  <c r="M28"/>
  <c r="L28"/>
  <c r="N14"/>
  <c r="M14"/>
  <c r="J14"/>
  <c r="L14"/>
  <c r="K14"/>
  <c r="M6"/>
  <c r="J6"/>
  <c r="N6"/>
  <c r="K6"/>
  <c r="L6"/>
  <c r="N9"/>
  <c r="M9"/>
  <c r="J9"/>
  <c r="K9"/>
  <c r="L9"/>
  <c r="N16"/>
  <c r="J16"/>
  <c r="K16"/>
  <c r="M16"/>
  <c r="L16"/>
  <c r="J20"/>
  <c r="K20"/>
  <c r="N20"/>
  <c r="M20"/>
  <c r="L20"/>
  <c r="J26"/>
  <c r="K26"/>
  <c r="N26"/>
  <c r="M26"/>
  <c r="L26"/>
  <c r="G6" i="12"/>
  <c r="D7"/>
  <c r="I6"/>
  <c r="E14"/>
  <c r="D13"/>
  <c r="C12"/>
  <c r="I10"/>
  <c r="H9"/>
  <c r="G8"/>
  <c r="H12"/>
  <c r="G9"/>
  <c r="D6"/>
  <c r="E6"/>
  <c r="F6"/>
  <c r="C7"/>
  <c r="E7"/>
  <c r="G14"/>
  <c r="C14"/>
  <c r="F13"/>
  <c r="I12"/>
  <c r="E12"/>
  <c r="H11"/>
  <c r="D11"/>
  <c r="G10"/>
  <c r="C10"/>
  <c r="F9"/>
  <c r="I8"/>
  <c r="E8"/>
  <c r="H7"/>
  <c r="F14"/>
  <c r="E13"/>
  <c r="D12"/>
  <c r="H10"/>
  <c r="F8"/>
  <c r="H14"/>
  <c r="D14"/>
  <c r="G13"/>
  <c r="C13"/>
  <c r="F12"/>
  <c r="I11"/>
  <c r="E11"/>
  <c r="D10"/>
  <c r="C9"/>
  <c r="I7"/>
  <c r="C11"/>
  <c r="F10"/>
  <c r="I9"/>
  <c r="E9"/>
  <c r="H8"/>
  <c r="D8"/>
  <c r="U65" i="2" l="1"/>
  <c r="U40"/>
  <c r="U38"/>
  <c r="U41"/>
  <c r="U36"/>
  <c r="I14" i="5"/>
  <c r="A12" i="17"/>
  <c r="N14" i="12"/>
  <c r="K7"/>
  <c r="K14"/>
  <c r="K13"/>
  <c r="K12"/>
  <c r="M7"/>
  <c r="K6"/>
  <c r="L14"/>
  <c r="K11"/>
  <c r="N10"/>
  <c r="N12"/>
  <c r="J7"/>
  <c r="N6"/>
  <c r="M6"/>
  <c r="L7"/>
  <c r="N7"/>
  <c r="L13"/>
  <c r="L10"/>
  <c r="J12"/>
  <c r="J14"/>
  <c r="J6"/>
  <c r="M12"/>
  <c r="L12"/>
  <c r="J13"/>
  <c r="N13"/>
  <c r="L6"/>
  <c r="M13"/>
  <c r="M14"/>
  <c r="J8"/>
  <c r="K10"/>
  <c r="M9"/>
  <c r="M10"/>
  <c r="J10"/>
  <c r="N9"/>
  <c r="J11"/>
  <c r="L11"/>
  <c r="M11"/>
  <c r="N11"/>
  <c r="K9"/>
  <c r="J9"/>
  <c r="K8"/>
  <c r="M8"/>
  <c r="N8"/>
  <c r="L8"/>
  <c r="L9"/>
  <c r="U24" i="2" l="1"/>
  <c r="U23"/>
  <c r="U26"/>
  <c r="U25"/>
  <c r="U15"/>
  <c r="I15" i="5"/>
  <c r="U150" i="2" l="1"/>
  <c r="U109"/>
  <c r="U103"/>
  <c r="U99"/>
  <c r="I16" i="5"/>
  <c r="A13" i="17"/>
  <c r="U51" i="2" l="1"/>
  <c r="U95"/>
  <c r="I17" i="5"/>
  <c r="A14" i="17"/>
  <c r="U112" i="2" l="1"/>
  <c r="U137"/>
  <c r="U61"/>
  <c r="I18" i="5"/>
  <c r="U147" i="2" l="1"/>
  <c r="U146"/>
  <c r="U93"/>
  <c r="U94"/>
  <c r="I19" i="5"/>
  <c r="A15" i="17"/>
  <c r="I20" i="5" l="1"/>
  <c r="U133" i="2" l="1"/>
  <c r="U128"/>
  <c r="U117"/>
  <c r="U142"/>
  <c r="U122"/>
  <c r="U82"/>
  <c r="U78"/>
  <c r="U74"/>
  <c r="U69"/>
  <c r="U49"/>
  <c r="U53"/>
  <c r="I21" i="5"/>
  <c r="I22" l="1"/>
  <c r="A16" i="17"/>
  <c r="U124" i="2" l="1"/>
  <c r="U123"/>
  <c r="U85"/>
  <c r="U45"/>
  <c r="U84"/>
  <c r="I23" i="5"/>
  <c r="U100" i="2" l="1"/>
  <c r="U88"/>
  <c r="U81"/>
  <c r="I24" i="5"/>
  <c r="A17" i="17"/>
  <c r="U29" i="2" l="1"/>
  <c r="U27"/>
  <c r="U28"/>
  <c r="I25" i="5"/>
  <c r="A18" i="17"/>
  <c r="U155" i="2" l="1"/>
  <c r="U50"/>
  <c r="U47"/>
  <c r="U16"/>
  <c r="U17"/>
  <c r="U18"/>
  <c r="I26" i="5"/>
  <c r="I27" l="1"/>
  <c r="A19" i="17"/>
  <c r="U32" i="2" l="1"/>
  <c r="U30"/>
  <c r="U31"/>
  <c r="I28" i="5"/>
  <c r="A20" i="17"/>
  <c r="I29" i="5" l="1"/>
  <c r="A21" i="17"/>
  <c r="U140" i="2" l="1"/>
  <c r="U115"/>
  <c r="I30" i="5"/>
  <c r="I31" l="1"/>
  <c r="I32" l="1"/>
  <c r="A22" i="17"/>
  <c r="U156" i="2" l="1"/>
  <c r="U108"/>
  <c r="U83"/>
  <c r="U102"/>
  <c r="U98"/>
  <c r="U92"/>
  <c r="U90"/>
  <c r="U86"/>
  <c r="I33" i="5"/>
  <c r="A23" i="17"/>
  <c r="U9" i="2" l="1"/>
  <c r="U8"/>
  <c r="U7"/>
  <c r="I34" i="5"/>
  <c r="U6" i="2" s="1"/>
  <c r="A24" i="17"/>
  <c r="U113" i="2" l="1"/>
  <c r="U77"/>
  <c r="I35" i="5"/>
  <c r="U56" i="2" s="1"/>
  <c r="A25" i="17"/>
  <c r="U71" i="2" l="1"/>
  <c r="U87"/>
  <c r="I36" i="5"/>
  <c r="U105" i="2" s="1"/>
  <c r="A26" i="17"/>
  <c r="U111" i="2" l="1"/>
  <c r="I37" i="5"/>
  <c r="A27" i="17"/>
  <c r="U70" i="2" l="1"/>
  <c r="U104"/>
  <c r="U110"/>
  <c r="U153"/>
  <c r="U152"/>
  <c r="U119"/>
  <c r="U67"/>
  <c r="I38" i="5"/>
  <c r="A28" i="17"/>
  <c r="U66" i="2" l="1"/>
  <c r="U118"/>
  <c r="I39" i="5"/>
  <c r="A29" i="17"/>
  <c r="U91" i="2" l="1"/>
  <c r="U101"/>
  <c r="U127"/>
  <c r="U121"/>
  <c r="U89"/>
  <c r="U97"/>
  <c r="U116"/>
  <c r="U132"/>
  <c r="U141"/>
  <c r="I40" i="5"/>
  <c r="A30" i="17"/>
  <c r="I41" i="5" l="1"/>
  <c r="U143" i="2" s="1"/>
  <c r="U63" l="1"/>
  <c r="U154"/>
  <c r="U57"/>
  <c r="U148"/>
  <c r="U43"/>
  <c r="U37"/>
  <c r="U34"/>
  <c r="U35"/>
  <c r="U33"/>
  <c r="U44"/>
  <c r="U39"/>
  <c r="I42" i="5"/>
  <c r="U125" i="2" s="1"/>
  <c r="A31" i="17"/>
  <c r="U138" i="2" l="1"/>
  <c r="U139"/>
  <c r="I43" i="5"/>
  <c r="A32" i="17"/>
  <c r="I44" i="5" l="1"/>
  <c r="A33" i="17"/>
  <c r="U20" i="2" l="1"/>
  <c r="U19"/>
  <c r="U22"/>
  <c r="U21"/>
  <c r="I45" i="5"/>
  <c r="A34" i="17"/>
  <c r="U106" i="2" l="1"/>
  <c r="U96"/>
  <c r="U42"/>
  <c r="U72"/>
  <c r="I46" i="5"/>
  <c r="I47" l="1"/>
  <c r="U134" i="2" l="1"/>
  <c r="U54"/>
  <c r="U135"/>
  <c r="U55"/>
  <c r="U157"/>
  <c r="U151"/>
  <c r="U149"/>
  <c r="U144"/>
  <c r="I48" i="5"/>
  <c r="A35" i="17"/>
  <c r="U129" i="2" l="1"/>
  <c r="U130"/>
  <c r="U59"/>
  <c r="A36" i="17"/>
  <c r="U10" i="2" l="1"/>
  <c r="U159" l="1"/>
  <c r="U126" l="1"/>
  <c r="U158" l="1"/>
  <c r="U11" l="1"/>
  <c r="U12"/>
  <c r="U13"/>
  <c r="U14"/>
  <c r="O10" i="17" l="1"/>
  <c r="O20"/>
  <c r="O15"/>
  <c r="O25"/>
  <c r="O7"/>
  <c r="O14"/>
  <c r="O24"/>
  <c r="O34"/>
  <c r="O36"/>
  <c r="O22"/>
  <c r="O17"/>
  <c r="O23"/>
  <c r="O6"/>
  <c r="O16"/>
  <c r="O11"/>
  <c r="O21"/>
  <c r="O33"/>
  <c r="O35"/>
  <c r="O9"/>
  <c r="O19"/>
  <c r="O29"/>
  <c r="O8"/>
  <c r="O18"/>
  <c r="O28"/>
  <c r="O32"/>
  <c r="O13"/>
  <c r="O27"/>
  <c r="O12"/>
  <c r="O26"/>
  <c r="O31"/>
  <c r="O30"/>
</calcChain>
</file>

<file path=xl/comments1.xml><?xml version="1.0" encoding="utf-8"?>
<comments xmlns="http://schemas.openxmlformats.org/spreadsheetml/2006/main">
  <authors>
    <author>Компаниец В.Б.</author>
  </authors>
  <commentList>
    <comment ref="C4" authorId="0">
      <text>
        <r>
          <rPr>
            <b/>
            <sz val="8"/>
            <color indexed="81"/>
            <rFont val="Tahoma"/>
            <family val="2"/>
            <charset val="204"/>
          </rPr>
          <t>Компаниец В.Б.:</t>
        </r>
        <r>
          <rPr>
            <sz val="8"/>
            <color indexed="81"/>
            <rFont val="Tahoma"/>
            <family val="2"/>
            <charset val="204"/>
          </rPr>
          <t xml:space="preserve">
Вручную набрать наименования методических объединений или кафедр, имеющихся в школе</t>
        </r>
      </text>
    </comment>
    <comment ref="F4" authorId="0">
      <text>
        <r>
          <rPr>
            <b/>
            <sz val="8"/>
            <color indexed="81"/>
            <rFont val="Tahoma"/>
            <family val="2"/>
            <charset val="204"/>
          </rPr>
          <t>Компаниец В.Б.:</t>
        </r>
        <r>
          <rPr>
            <sz val="8"/>
            <color indexed="81"/>
            <rFont val="Tahoma"/>
            <family val="2"/>
            <charset val="204"/>
          </rPr>
          <t xml:space="preserve">
Вручную набрать перечень учебных предметов, преподаваемых в школе и по которым проводится промежуточная аттестация.
К названию предметов, преподаваемых учителями начальной школы через один пробел добавляется НШ</t>
        </r>
      </text>
    </comment>
    <comment ref="G4" authorId="0">
      <text>
        <r>
          <rPr>
            <b/>
            <sz val="8"/>
            <color indexed="81"/>
            <rFont val="Tahoma"/>
            <family val="2"/>
            <charset val="204"/>
          </rPr>
          <t>Компаниец В.Б.:</t>
        </r>
        <r>
          <rPr>
            <sz val="8"/>
            <color indexed="81"/>
            <rFont val="Tahoma"/>
            <family val="2"/>
            <charset val="204"/>
          </rPr>
          <t xml:space="preserve">
Вручную проставить код предметного методического объединения, к которому отнесится преподаваемый предмет по табл.№1.</t>
        </r>
      </text>
    </comment>
    <comment ref="J4" authorId="0">
      <text>
        <r>
          <rPr>
            <b/>
            <sz val="8"/>
            <color indexed="81"/>
            <rFont val="Tahoma"/>
            <family val="2"/>
            <charset val="204"/>
          </rPr>
          <t>Компаниец В.Б.:</t>
        </r>
        <r>
          <rPr>
            <sz val="8"/>
            <color indexed="81"/>
            <rFont val="Tahoma"/>
            <family val="2"/>
            <charset val="204"/>
          </rPr>
          <t xml:space="preserve">
Вручную набрать фамилии и инициалы учителей-предметников. 
Порядок набора не важен - впоследствии список можно отсортировать по алфавиту.</t>
        </r>
      </text>
    </comment>
    <comment ref="M4" authorId="0">
      <text>
        <r>
          <rPr>
            <b/>
            <sz val="8"/>
            <color indexed="81"/>
            <rFont val="Tahoma"/>
            <family val="2"/>
            <charset val="204"/>
          </rPr>
          <t>Компаниец В.Б.:</t>
        </r>
        <r>
          <rPr>
            <sz val="8"/>
            <color indexed="81"/>
            <rFont val="Tahoma"/>
            <family val="2"/>
            <charset val="204"/>
          </rPr>
          <t xml:space="preserve">
Выбрать из раскрывающегося списка учителя.</t>
        </r>
      </text>
    </comment>
    <comment ref="N4" authorId="0">
      <text>
        <r>
          <rPr>
            <b/>
            <sz val="8"/>
            <color indexed="81"/>
            <rFont val="Tahoma"/>
            <family val="2"/>
            <charset val="204"/>
          </rPr>
          <t>Компаниец В.Б.:</t>
        </r>
        <r>
          <rPr>
            <sz val="8"/>
            <color indexed="81"/>
            <rFont val="Tahoma"/>
            <family val="2"/>
            <charset val="204"/>
          </rPr>
          <t xml:space="preserve">
Выбрать из раскрывающегося списка преподаваемый учителем предмет.</t>
        </r>
      </text>
    </comment>
    <comment ref="R4" authorId="0">
      <text>
        <r>
          <rPr>
            <b/>
            <sz val="8"/>
            <color indexed="81"/>
            <rFont val="Tahoma"/>
            <family val="2"/>
            <charset val="204"/>
          </rPr>
          <t>Компаниец В.Б.:</t>
        </r>
        <r>
          <rPr>
            <sz val="8"/>
            <color indexed="81"/>
            <rFont val="Tahoma"/>
            <family val="2"/>
            <charset val="204"/>
          </rPr>
          <t xml:space="preserve">
Вручную набрать фамилии и инициалы учителей-предметников. 
Порядок набора не важен - впоследствии список можно отсортировать по алфавиту.</t>
        </r>
      </text>
    </comment>
  </commentList>
</comments>
</file>

<file path=xl/comments2.xml><?xml version="1.0" encoding="utf-8"?>
<comments xmlns="http://schemas.openxmlformats.org/spreadsheetml/2006/main">
  <authors>
    <author>Компаниец В.Б.</author>
  </authors>
  <commentList>
    <comment ref="A3" authorId="0">
      <text>
        <r>
          <rPr>
            <sz val="8"/>
            <color indexed="10"/>
            <rFont val="Tahoma"/>
            <family val="2"/>
            <charset val="204"/>
          </rPr>
          <t>Вручную проставить код учителя!</t>
        </r>
      </text>
    </comment>
    <comment ref="B3" authorId="0">
      <text>
        <r>
          <rPr>
            <sz val="8"/>
            <color indexed="81"/>
            <rFont val="Tahoma"/>
            <family val="2"/>
            <charset val="204"/>
          </rPr>
          <t>Код ПМО, фамилия и инициалы учителя, препадаваемый предмет и коэффициент трудности предмета проставляется автоматически!</t>
        </r>
      </text>
    </comment>
    <comment ref="F3" authorId="0">
      <text>
        <r>
          <rPr>
            <sz val="9"/>
            <color indexed="12"/>
            <rFont val="Times New Roman CYR"/>
            <charset val="204"/>
          </rPr>
          <t xml:space="preserve">Классы, в котором работает учитель, проставить вручную.
</t>
        </r>
      </text>
    </comment>
    <comment ref="G3" authorId="0">
      <text>
        <r>
          <rPr>
            <b/>
            <sz val="8"/>
            <color indexed="12"/>
            <rFont val="Tahoma"/>
            <family val="2"/>
          </rPr>
          <t>Количество учащихся в классе проставляется вручную. По мере ввода оценок программой проводится проверка правильности ввода. Если количество введенных оценок совпадает с количеством учащихся в классе, то красная полоска исчезает. 
При несовпадении полоса остается.</t>
        </r>
      </text>
    </comment>
  </commentList>
</comments>
</file>

<file path=xl/sharedStrings.xml><?xml version="1.0" encoding="utf-8"?>
<sst xmlns="http://schemas.openxmlformats.org/spreadsheetml/2006/main" count="596" uniqueCount="204">
  <si>
    <t xml:space="preserve"> </t>
  </si>
  <si>
    <t>Указания по работе с программой                                                                                                                       (ukazania)</t>
  </si>
  <si>
    <t>Рекомендации по использованию программы в школьном менеджменте                                                          (rekomendacii)</t>
  </si>
  <si>
    <t xml:space="preserve">О параметрах и примерных критериях учебных достижений </t>
  </si>
  <si>
    <t>©</t>
  </si>
  <si>
    <t>Фамилия и инициалы учителя</t>
  </si>
  <si>
    <t>Преподаваемый предмет</t>
  </si>
  <si>
    <t>Класс</t>
  </si>
  <si>
    <t>Кол-во обуч-ся</t>
  </si>
  <si>
    <t>" 5 "</t>
  </si>
  <si>
    <t>" 4 "</t>
  </si>
  <si>
    <t>" 3 "</t>
  </si>
  <si>
    <t>" 2 "</t>
  </si>
  <si>
    <t>н/а</t>
  </si>
  <si>
    <t>осв.</t>
  </si>
  <si>
    <t>Успевае-мость</t>
  </si>
  <si>
    <t>Качество знаний</t>
  </si>
  <si>
    <t>Освоили программу на:</t>
  </si>
  <si>
    <t>Код учи-теля</t>
  </si>
  <si>
    <t>Графический анализ результатов учебной деятельности учителя.</t>
  </si>
  <si>
    <t>Средний балл успеваемости.</t>
  </si>
  <si>
    <t>Степень обуч-ти</t>
  </si>
  <si>
    <t>Качество  успеваемости.</t>
  </si>
  <si>
    <t>Успеваемость.</t>
  </si>
  <si>
    <t>Степень обученности.</t>
  </si>
  <si>
    <t>Преподаваемый(е)  предмет(ы)</t>
  </si>
  <si>
    <t>О программе PSORUD Учителя</t>
  </si>
  <si>
    <t>Качество усп-ти</t>
  </si>
  <si>
    <t>Ср. балл</t>
  </si>
  <si>
    <t>Кол-во уч-ся</t>
  </si>
  <si>
    <t>Качество успеваемости</t>
  </si>
  <si>
    <t>Степень обучен ности</t>
  </si>
  <si>
    <t>Средний балл</t>
  </si>
  <si>
    <t>В.Компаниец, 2007</t>
  </si>
  <si>
    <r>
      <t>Сайт в интернете:</t>
    </r>
    <r>
      <rPr>
        <b/>
        <sz val="14"/>
        <color indexed="12"/>
        <rFont val="Times New Roman Cyr"/>
        <family val="1"/>
        <charset val="204"/>
      </rPr>
      <t xml:space="preserve">   http://www.schoolsoft.ru</t>
    </r>
    <r>
      <rPr>
        <sz val="14"/>
        <color indexed="12"/>
        <rFont val="Times New Roman Cyr"/>
        <family val="1"/>
        <charset val="204"/>
      </rPr>
      <t xml:space="preserve"> </t>
    </r>
    <r>
      <rPr>
        <sz val="14"/>
        <rFont val="Times New Roman Cyr"/>
        <family val="1"/>
        <charset val="204"/>
      </rPr>
      <t xml:space="preserve"> </t>
    </r>
    <r>
      <rPr>
        <sz val="12"/>
        <rFont val="Times New Roman Cyr"/>
        <family val="1"/>
        <charset val="204"/>
      </rPr>
      <t xml:space="preserve">                                                                                                                                                       E-mail:  </t>
    </r>
    <r>
      <rPr>
        <sz val="14"/>
        <color indexed="12"/>
        <rFont val="Times New Roman Cyr"/>
        <family val="1"/>
        <charset val="204"/>
      </rPr>
      <t>schoolsoft@mail.ru</t>
    </r>
    <r>
      <rPr>
        <sz val="12"/>
        <rFont val="Times New Roman Cyr"/>
        <family val="1"/>
        <charset val="204"/>
      </rPr>
      <t xml:space="preserve">    или    </t>
    </r>
    <r>
      <rPr>
        <sz val="14"/>
        <color indexed="12"/>
        <rFont val="Times New Roman Cyr"/>
        <family val="1"/>
        <charset val="204"/>
      </rPr>
      <t>vladkomp@list.ru</t>
    </r>
  </si>
  <si>
    <t>1 четверть</t>
  </si>
  <si>
    <t>ИЗО</t>
  </si>
  <si>
    <t>ОБЖ</t>
  </si>
  <si>
    <t>ФЗК</t>
  </si>
  <si>
    <t>МХК</t>
  </si>
  <si>
    <t>Условный код ПМО</t>
  </si>
  <si>
    <t>ФЗК и ОБЖ</t>
  </si>
  <si>
    <t>Код ПМО</t>
  </si>
  <si>
    <t>Учебный предмет (курс)</t>
  </si>
  <si>
    <t>Русский язык</t>
  </si>
  <si>
    <t>Литература</t>
  </si>
  <si>
    <t>Математика</t>
  </si>
  <si>
    <t>Алгебра</t>
  </si>
  <si>
    <t>Геометрия</t>
  </si>
  <si>
    <t>Информатика</t>
  </si>
  <si>
    <t>Астрономия</t>
  </si>
  <si>
    <t>Биология</t>
  </si>
  <si>
    <t>География</t>
  </si>
  <si>
    <t>История</t>
  </si>
  <si>
    <t>Музыка</t>
  </si>
  <si>
    <t>Обществознание</t>
  </si>
  <si>
    <t>Технология</t>
  </si>
  <si>
    <t>Физика</t>
  </si>
  <si>
    <t>Черчение</t>
  </si>
  <si>
    <t>Экономика</t>
  </si>
  <si>
    <t>Химия</t>
  </si>
  <si>
    <t>Иностранных языков</t>
  </si>
  <si>
    <t>Математики и ИКТ</t>
  </si>
  <si>
    <t>Обществознания</t>
  </si>
  <si>
    <t>Естествознания</t>
  </si>
  <si>
    <t>Искусства</t>
  </si>
  <si>
    <t>Технологии</t>
  </si>
  <si>
    <t>Начальных классов</t>
  </si>
  <si>
    <t>Степень обученности</t>
  </si>
  <si>
    <t>Код учителя</t>
  </si>
  <si>
    <t>Предметное методическое объединение</t>
  </si>
  <si>
    <t>Приложение к табличному редактору MS Excel-2007                                                                                                                                                                                                                                                                                     для статистической обработки результатов учебной деятельности учителей-предметников и ПМО -                                                                                                PSORUD - Teacher</t>
  </si>
  <si>
    <t>вбк</t>
  </si>
  <si>
    <t>Наименование предметных методических объединений, кафедр (ПМО)</t>
  </si>
  <si>
    <t>Граждановедение</t>
  </si>
  <si>
    <t>Естествознание</t>
  </si>
  <si>
    <t>Краеведение</t>
  </si>
  <si>
    <t>Экология</t>
  </si>
  <si>
    <t>Естествознание НШ</t>
  </si>
  <si>
    <t>Литература НШ</t>
  </si>
  <si>
    <t>Математика НШ</t>
  </si>
  <si>
    <t>Русский язык НШ</t>
  </si>
  <si>
    <t>Технология НШ</t>
  </si>
  <si>
    <t>2011/12 учебный год</t>
  </si>
  <si>
    <t>Фамилии и инициалы учителей</t>
  </si>
  <si>
    <t>Кач-во знаний</t>
  </si>
  <si>
    <t>Таблица №1.</t>
  </si>
  <si>
    <t>Таблица №2.</t>
  </si>
  <si>
    <t>Таблица №3.</t>
  </si>
  <si>
    <t>Таблица №4.</t>
  </si>
  <si>
    <t>№ пп</t>
  </si>
  <si>
    <t>Учебные предметы</t>
  </si>
  <si>
    <t>П а р а л л е л ь   к л а с с о в:</t>
  </si>
  <si>
    <t>Хореография</t>
  </si>
  <si>
    <t>Фамилии и инициалы кл.руководителей</t>
  </si>
  <si>
    <t>Таблица №5.</t>
  </si>
  <si>
    <t>2 А</t>
  </si>
  <si>
    <t>2 Б</t>
  </si>
  <si>
    <t>2 В</t>
  </si>
  <si>
    <t>2 Г</t>
  </si>
  <si>
    <t>2 Д</t>
  </si>
  <si>
    <t>3 А</t>
  </si>
  <si>
    <t>3 Б</t>
  </si>
  <si>
    <t>3 В</t>
  </si>
  <si>
    <t>3 Г</t>
  </si>
  <si>
    <t>3 Д</t>
  </si>
  <si>
    <t>3 Е</t>
  </si>
  <si>
    <t>4 А</t>
  </si>
  <si>
    <t>4 Б</t>
  </si>
  <si>
    <t>4 В</t>
  </si>
  <si>
    <t>4 Г</t>
  </si>
  <si>
    <t>4 Д</t>
  </si>
  <si>
    <t>5 А</t>
  </si>
  <si>
    <t>5 Б</t>
  </si>
  <si>
    <t>5 В</t>
  </si>
  <si>
    <t>5 Г</t>
  </si>
  <si>
    <t>5 Д</t>
  </si>
  <si>
    <t>6 А</t>
  </si>
  <si>
    <t>6 Б</t>
  </si>
  <si>
    <t>6 В</t>
  </si>
  <si>
    <t>6 Г</t>
  </si>
  <si>
    <t>6 Д</t>
  </si>
  <si>
    <t>7 А</t>
  </si>
  <si>
    <t>7 Б</t>
  </si>
  <si>
    <t>7 В</t>
  </si>
  <si>
    <t>7 Г</t>
  </si>
  <si>
    <t>7 Д</t>
  </si>
  <si>
    <t>8 А</t>
  </si>
  <si>
    <t>8 Б</t>
  </si>
  <si>
    <t>8 В</t>
  </si>
  <si>
    <t>8 Г</t>
  </si>
  <si>
    <t>8 Д</t>
  </si>
  <si>
    <t>9 А</t>
  </si>
  <si>
    <t>9 Б</t>
  </si>
  <si>
    <t>9 В</t>
  </si>
  <si>
    <t>9 Г</t>
  </si>
  <si>
    <t>9 Д</t>
  </si>
  <si>
    <t>10 А</t>
  </si>
  <si>
    <t>10 Б</t>
  </si>
  <si>
    <t>10 В</t>
  </si>
  <si>
    <t>10 Г</t>
  </si>
  <si>
    <t>11 А</t>
  </si>
  <si>
    <t>11 Б</t>
  </si>
  <si>
    <t>11 В</t>
  </si>
  <si>
    <t>Рейтинговый учебный балл учителя</t>
  </si>
  <si>
    <t>Коэф. трудности предмета</t>
  </si>
  <si>
    <t>№ п.п.</t>
  </si>
  <si>
    <t>Рейтинговый балл учителей.</t>
  </si>
  <si>
    <t>Адамян С.Ю.</t>
  </si>
  <si>
    <t>Алферова Н. М.</t>
  </si>
  <si>
    <t>Белякова Ю. В.</t>
  </si>
  <si>
    <t>Борисова М. А.</t>
  </si>
  <si>
    <t>Ващенко Л. Ю.</t>
  </si>
  <si>
    <t>Гвоздкова О. А.</t>
  </si>
  <si>
    <t>Гладкая И В</t>
  </si>
  <si>
    <t>Даниленко И. Н.</t>
  </si>
  <si>
    <t>Зайцева Н. А.</t>
  </si>
  <si>
    <t>Закарлюка А. Г.</t>
  </si>
  <si>
    <t>Каменская Н. В.</t>
  </si>
  <si>
    <t xml:space="preserve">Каплиева </t>
  </si>
  <si>
    <t>Касьянова Н. А.</t>
  </si>
  <si>
    <t>Клочко А. М.</t>
  </si>
  <si>
    <t>Кожанова О. В.</t>
  </si>
  <si>
    <t>Колядина Г. Н.</t>
  </si>
  <si>
    <t>Кравченко Л. И.</t>
  </si>
  <si>
    <t>Лавриненко В. Д.</t>
  </si>
  <si>
    <t>Ланова Н.Ю.</t>
  </si>
  <si>
    <t>Литвинова  А. И.</t>
  </si>
  <si>
    <t>Логвиненко Н. А.</t>
  </si>
  <si>
    <t>Маслова Е. В.</t>
  </si>
  <si>
    <t>Мельникова Л. Н.</t>
  </si>
  <si>
    <t>Нагорная Н. П.</t>
  </si>
  <si>
    <t>Насонова И. В.</t>
  </si>
  <si>
    <t>Никулина М.А.</t>
  </si>
  <si>
    <t>Новикова А. Р.</t>
  </si>
  <si>
    <t>Олейникова  И. Ю.</t>
  </si>
  <si>
    <t>Павлющик О.И.</t>
  </si>
  <si>
    <t>Палиева А. И.</t>
  </si>
  <si>
    <t>Полунина В. В.</t>
  </si>
  <si>
    <t>Полякова Е. В.</t>
  </si>
  <si>
    <t>Попова Т. А.</t>
  </si>
  <si>
    <t>Простова Н. А.</t>
  </si>
  <si>
    <t>Руденко Н.Ю.</t>
  </si>
  <si>
    <t>Румянцева И. В.</t>
  </si>
  <si>
    <t>Самойленко Н. Ф.</t>
  </si>
  <si>
    <t>Скокова Е. В.</t>
  </si>
  <si>
    <t>Сорокина М. В.</t>
  </si>
  <si>
    <t xml:space="preserve">Тулинов Н. И. </t>
  </si>
  <si>
    <t>Филенко Н. Ю.</t>
  </si>
  <si>
    <t>Филькина И. Н.</t>
  </si>
  <si>
    <t>Юркова М. Ю.</t>
  </si>
  <si>
    <t>Ящук Е. Ю.</t>
  </si>
  <si>
    <t>Английский язык</t>
  </si>
  <si>
    <t>Немецкий язык</t>
  </si>
  <si>
    <t>Французский язык</t>
  </si>
  <si>
    <t xml:space="preserve">Кузнецова Н. М. </t>
  </si>
  <si>
    <t>Клочко А.М.</t>
  </si>
  <si>
    <t>Адамян С. Ю.</t>
  </si>
  <si>
    <t>Бондаренко</t>
  </si>
  <si>
    <t xml:space="preserve">Кузнецова Н.М. </t>
  </si>
  <si>
    <t>Русской филологии</t>
  </si>
  <si>
    <t>МОУ СОШ №123</t>
  </si>
  <si>
    <t>Муниципальное бюджетное общеобразовательное учреждение:                                                                                                                                                               средняя общеобразовательная школа №123                                                                                                                                                                                    Центрального р-на г.Ростова-на-Дону</t>
  </si>
  <si>
    <r>
      <rPr>
        <sz val="4"/>
        <color theme="0" tint="-4.9989318521683403E-2"/>
        <rFont val="Times New Roman Cyr"/>
        <charset val="204"/>
      </rPr>
      <t>вбк</t>
    </r>
    <r>
      <rPr>
        <sz val="9"/>
        <color theme="0" tint="-0.34998626667073579"/>
        <rFont val="Times New Roman Cyr"/>
        <family val="1"/>
        <charset val="204"/>
      </rPr>
      <t xml:space="preserve">                                             PSORUD-Teacher v.02.11.demo</t>
    </r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</si>
</sst>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82">
    <font>
      <sz val="10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 CYR"/>
      <charset val="204"/>
    </font>
    <font>
      <u/>
      <sz val="10"/>
      <color indexed="12"/>
      <name val="Times New Roman Cyr"/>
      <charset val="204"/>
    </font>
    <font>
      <sz val="10"/>
      <color indexed="42"/>
      <name val="Times New Roman Cyr"/>
      <family val="1"/>
      <charset val="204"/>
    </font>
    <font>
      <b/>
      <sz val="16"/>
      <color indexed="60"/>
      <name val="Times New Roman Cyr"/>
      <family val="1"/>
      <charset val="204"/>
    </font>
    <font>
      <sz val="16"/>
      <name val="Times New Roman Cyr"/>
      <family val="1"/>
      <charset val="204"/>
    </font>
    <font>
      <sz val="14"/>
      <name val="Times New Roman Cyr"/>
      <family val="1"/>
      <charset val="204"/>
    </font>
    <font>
      <b/>
      <sz val="14"/>
      <color indexed="12"/>
      <name val="Times New Roman Cyr"/>
      <family val="1"/>
      <charset val="204"/>
    </font>
    <font>
      <sz val="14"/>
      <color indexed="12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1"/>
      <color indexed="16"/>
      <name val="Times New Roman CYR"/>
      <family val="1"/>
      <charset val="204"/>
    </font>
    <font>
      <b/>
      <sz val="10"/>
      <color indexed="12"/>
      <name val="Times New Roman Cyr"/>
      <family val="1"/>
      <charset val="204"/>
    </font>
    <font>
      <sz val="10"/>
      <color indexed="9"/>
      <name val="Times New Roman Cyr"/>
      <family val="1"/>
      <charset val="204"/>
    </font>
    <font>
      <sz val="8"/>
      <name val="Times New Roman Cyr"/>
      <family val="1"/>
      <charset val="204"/>
    </font>
    <font>
      <b/>
      <sz val="9"/>
      <color indexed="12"/>
      <name val="Times New Roman Cyr"/>
      <family val="1"/>
      <charset val="204"/>
    </font>
    <font>
      <sz val="9"/>
      <color indexed="9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color indexed="12"/>
      <name val="Times New Roman Cyr"/>
      <family val="1"/>
      <charset val="204"/>
    </font>
    <font>
      <b/>
      <sz val="12"/>
      <color indexed="16"/>
      <name val="Times New Roman Cyr"/>
      <family val="1"/>
      <charset val="204"/>
    </font>
    <font>
      <b/>
      <sz val="12"/>
      <color indexed="12"/>
      <name val="Courier New CYR"/>
      <family val="3"/>
      <charset val="204"/>
    </font>
    <font>
      <b/>
      <sz val="12"/>
      <color indexed="42"/>
      <name val="Times New Roman Cyr"/>
      <family val="1"/>
      <charset val="204"/>
    </font>
    <font>
      <sz val="14"/>
      <color indexed="42"/>
      <name val="Times New Roman Cyr"/>
      <family val="1"/>
      <charset val="204"/>
    </font>
    <font>
      <b/>
      <u/>
      <sz val="12"/>
      <color indexed="42"/>
      <name val="Times New Roman Cyr"/>
      <family val="1"/>
      <charset val="204"/>
    </font>
    <font>
      <sz val="8"/>
      <color indexed="81"/>
      <name val="Tahoma"/>
      <family val="2"/>
      <charset val="204"/>
    </font>
    <font>
      <sz val="5"/>
      <color indexed="9"/>
      <name val="Times New Roman Cyr"/>
      <family val="1"/>
      <charset val="204"/>
    </font>
    <font>
      <sz val="9"/>
      <color indexed="12"/>
      <name val="Times New Roman CYR"/>
      <charset val="204"/>
    </font>
    <font>
      <sz val="9"/>
      <color indexed="16"/>
      <name val="Times New Roman CYR"/>
      <family val="1"/>
      <charset val="204"/>
    </font>
    <font>
      <b/>
      <sz val="8"/>
      <color indexed="12"/>
      <name val="Tahoma"/>
      <family val="2"/>
    </font>
    <font>
      <sz val="8"/>
      <color indexed="12"/>
      <name val="Times New Roman Cyr"/>
      <family val="1"/>
      <charset val="204"/>
    </font>
    <font>
      <sz val="9"/>
      <color indexed="12"/>
      <name val="Times New Roman CYR"/>
      <family val="1"/>
      <charset val="204"/>
    </font>
    <font>
      <sz val="8"/>
      <color indexed="60"/>
      <name val="Times New Roman Cyr"/>
      <family val="1"/>
      <charset val="204"/>
    </font>
    <font>
      <sz val="10"/>
      <color indexed="60"/>
      <name val="Times New Roman Cyr"/>
      <family val="1"/>
      <charset val="204"/>
    </font>
    <font>
      <sz val="8"/>
      <color indexed="16"/>
      <name val="Times New Roman Cyr"/>
      <family val="1"/>
      <charset val="204"/>
    </font>
    <font>
      <sz val="10"/>
      <color indexed="16"/>
      <name val="Times New Roman Cyr"/>
      <family val="1"/>
      <charset val="204"/>
    </font>
    <font>
      <sz val="10"/>
      <color indexed="9"/>
      <name val="Times New Roman"/>
      <family val="1"/>
    </font>
    <font>
      <b/>
      <sz val="9"/>
      <color theme="0"/>
      <name val="Times New Roman CYR"/>
      <family val="1"/>
      <charset val="204"/>
    </font>
    <font>
      <sz val="10"/>
      <color theme="0"/>
      <name val="Times New Roman CYR"/>
      <family val="1"/>
      <charset val="204"/>
    </font>
    <font>
      <sz val="10"/>
      <color theme="6" tint="0.79998168889431442"/>
      <name val="Times New Roman"/>
      <family val="1"/>
    </font>
    <font>
      <sz val="10"/>
      <color theme="6" tint="0.79998168889431442"/>
      <name val="Times New Roman CYR"/>
      <charset val="204"/>
    </font>
    <font>
      <b/>
      <sz val="6"/>
      <color theme="0"/>
      <name val="Times New Roman CYR"/>
      <family val="1"/>
      <charset val="204"/>
    </font>
    <font>
      <sz val="6"/>
      <color theme="0"/>
      <name val="Times New Roman CYR"/>
      <family val="1"/>
      <charset val="204"/>
    </font>
    <font>
      <sz val="11"/>
      <name val="Times New Roman Cyr"/>
      <family val="1"/>
      <charset val="204"/>
    </font>
    <font>
      <b/>
      <sz val="9"/>
      <name val="Times New Roman CYR"/>
      <charset val="204"/>
    </font>
    <font>
      <sz val="8"/>
      <color indexed="10"/>
      <name val="Tahoma"/>
      <family val="2"/>
      <charset val="204"/>
    </font>
    <font>
      <b/>
      <sz val="10"/>
      <color rgb="FFFF0000"/>
      <name val="Times New Roman Cyr"/>
      <family val="1"/>
      <charset val="204"/>
    </font>
    <font>
      <sz val="10"/>
      <color rgb="FFFF0000"/>
      <name val="Times New Roman Cyr"/>
      <family val="1"/>
      <charset val="204"/>
    </font>
    <font>
      <sz val="8"/>
      <color rgb="FFFF0000"/>
      <name val="Times New Roman Cyr"/>
      <family val="1"/>
      <charset val="204"/>
    </font>
    <font>
      <sz val="8"/>
      <name val="Times New Roman CYR"/>
      <charset val="204"/>
    </font>
    <font>
      <sz val="10"/>
      <name val="Arial Cyr"/>
      <charset val="204"/>
    </font>
    <font>
      <sz val="11"/>
      <name val="Cambria"/>
      <family val="1"/>
      <charset val="204"/>
      <scheme val="major"/>
    </font>
    <font>
      <b/>
      <sz val="10"/>
      <name val="Times New Roman CYR"/>
      <charset val="204"/>
    </font>
    <font>
      <sz val="8"/>
      <color theme="0"/>
      <name val="Times New Roman CYR"/>
      <charset val="204"/>
    </font>
    <font>
      <sz val="8"/>
      <color theme="1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sz val="10"/>
      <color rgb="FF993300"/>
      <name val="Times New Roman CYR"/>
      <charset val="204"/>
    </font>
    <font>
      <sz val="5"/>
      <color theme="0"/>
      <name val="Times New Roman CYR"/>
      <charset val="204"/>
    </font>
    <font>
      <b/>
      <sz val="8"/>
      <color indexed="81"/>
      <name val="Tahoma"/>
      <family val="2"/>
      <charset val="204"/>
    </font>
    <font>
      <b/>
      <sz val="16"/>
      <color rgb="FF993300"/>
      <name val="Times New Roman Cyr"/>
      <family val="1"/>
      <charset val="204"/>
    </font>
    <font>
      <sz val="11"/>
      <color theme="0" tint="-0.249977111117893"/>
      <name val="Monotype Corsiva"/>
      <family val="4"/>
    </font>
    <font>
      <sz val="10"/>
      <color theme="1"/>
      <name val="Cambria"/>
      <family val="1"/>
      <charset val="204"/>
      <scheme val="major"/>
    </font>
    <font>
      <sz val="10"/>
      <color rgb="FFFF0000"/>
      <name val="Cambria"/>
      <family val="1"/>
      <charset val="204"/>
      <scheme val="major"/>
    </font>
    <font>
      <b/>
      <sz val="10"/>
      <color theme="1"/>
      <name val="Cambria"/>
      <family val="1"/>
      <charset val="204"/>
      <scheme val="major"/>
    </font>
    <font>
      <sz val="9"/>
      <color indexed="60"/>
      <name val="Times New Roman Cyr"/>
      <family val="1"/>
      <charset val="204"/>
    </font>
    <font>
      <sz val="3"/>
      <color theme="0"/>
      <name val="Cambria"/>
      <family val="1"/>
      <charset val="204"/>
      <scheme val="major"/>
    </font>
    <font>
      <b/>
      <sz val="3"/>
      <color theme="0"/>
      <name val="Times New Roman CYR"/>
      <family val="1"/>
      <charset val="204"/>
    </font>
    <font>
      <sz val="3"/>
      <color theme="0"/>
      <name val="Times New Roman CYR"/>
      <charset val="204"/>
    </font>
    <font>
      <sz val="9"/>
      <color theme="0"/>
      <name val="Times New Roman CYR"/>
      <family val="1"/>
      <charset val="204"/>
    </font>
    <font>
      <sz val="10"/>
      <color rgb="FF800000"/>
      <name val="Times New Roman Cyr"/>
      <family val="1"/>
      <charset val="204"/>
    </font>
    <font>
      <sz val="9"/>
      <color rgb="FF800000"/>
      <name val="Times New Roman Cyr"/>
      <family val="1"/>
      <charset val="204"/>
    </font>
    <font>
      <b/>
      <sz val="8"/>
      <color theme="1"/>
      <name val="Times New Roman"/>
      <family val="1"/>
      <charset val="204"/>
    </font>
    <font>
      <sz val="10"/>
      <color rgb="FFFFFF00"/>
      <name val="Times New Roman CYR"/>
      <charset val="204"/>
    </font>
    <font>
      <b/>
      <i/>
      <sz val="14"/>
      <color indexed="60"/>
      <name val="Times New Roman CYR"/>
      <family val="1"/>
      <charset val="204"/>
    </font>
    <font>
      <b/>
      <sz val="14"/>
      <color theme="0" tint="-0.499984740745262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4"/>
      <color theme="0" tint="-0.499984740745262"/>
      <name val="Times New Roman Cyr"/>
      <family val="1"/>
      <charset val="204"/>
    </font>
    <font>
      <sz val="10"/>
      <color rgb="FF0000CC"/>
      <name val="Cambria"/>
      <family val="1"/>
      <charset val="204"/>
      <scheme val="major"/>
    </font>
    <font>
      <sz val="10"/>
      <name val="Cambria"/>
      <family val="1"/>
      <charset val="204"/>
      <scheme val="major"/>
    </font>
    <font>
      <b/>
      <sz val="18"/>
      <color theme="0" tint="-0.34998626667073579"/>
      <name val="Times New Roman"/>
      <family val="1"/>
    </font>
    <font>
      <sz val="9"/>
      <color theme="0" tint="-0.34998626667073579"/>
      <name val="Times New Roman Cyr"/>
      <family val="1"/>
      <charset val="204"/>
    </font>
    <font>
      <sz val="4"/>
      <color theme="0" tint="-4.9989318521683403E-2"/>
      <name val="Times New Roman Cyr"/>
      <charset val="204"/>
    </font>
    <font>
      <sz val="4"/>
      <color theme="0" tint="-0.34998626667073579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49" fillId="0" borderId="0"/>
    <xf numFmtId="0" fontId="1" fillId="0" borderId="0"/>
  </cellStyleXfs>
  <cellXfs count="265">
    <xf numFmtId="0" fontId="0" fillId="0" borderId="0" xfId="0"/>
    <xf numFmtId="0" fontId="0" fillId="0" borderId="0" xfId="0" applyProtection="1">
      <protection hidden="1"/>
    </xf>
    <xf numFmtId="0" fontId="0" fillId="0" borderId="0" xfId="0" applyFill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17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13" fillId="0" borderId="0" xfId="0" applyFont="1" applyFill="1" applyBorder="1" applyAlignment="1" applyProtection="1">
      <alignment horizontal="center"/>
      <protection hidden="1"/>
    </xf>
    <xf numFmtId="2" fontId="13" fillId="0" borderId="0" xfId="0" applyNumberFormat="1" applyFont="1" applyFill="1" applyBorder="1" applyAlignment="1" applyProtection="1">
      <alignment horizontal="center"/>
      <protection hidden="1"/>
    </xf>
    <xf numFmtId="0" fontId="4" fillId="0" borderId="0" xfId="0" applyFont="1" applyFill="1" applyProtection="1">
      <protection hidden="1"/>
    </xf>
    <xf numFmtId="0" fontId="0" fillId="0" borderId="0" xfId="0" applyFill="1" applyAlignment="1" applyProtection="1">
      <alignment horizontal="center" vertical="center" wrapText="1"/>
      <protection hidden="1"/>
    </xf>
    <xf numFmtId="0" fontId="0" fillId="0" borderId="0" xfId="0" applyFill="1" applyBorder="1" applyProtection="1"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Fill="1" applyBorder="1" applyAlignment="1" applyProtection="1">
      <alignment horizontal="center" wrapText="1"/>
      <protection hidden="1"/>
    </xf>
    <xf numFmtId="0" fontId="22" fillId="0" borderId="0" xfId="0" applyFont="1" applyFill="1" applyAlignment="1" applyProtection="1">
      <alignment horizontal="center" vertical="center" wrapText="1"/>
      <protection hidden="1"/>
    </xf>
    <xf numFmtId="0" fontId="4" fillId="0" borderId="0" xfId="0" applyFont="1" applyFill="1" applyAlignment="1" applyProtection="1">
      <alignment horizontal="center" vertical="center" wrapText="1"/>
      <protection hidden="1"/>
    </xf>
    <xf numFmtId="0" fontId="17" fillId="0" borderId="0" xfId="0" applyFont="1" applyFill="1" applyAlignment="1" applyProtection="1">
      <alignment horizontal="center" vertical="center" wrapText="1"/>
      <protection hidden="1"/>
    </xf>
    <xf numFmtId="0" fontId="10" fillId="0" borderId="0" xfId="0" applyFont="1" applyFill="1" applyAlignment="1" applyProtection="1">
      <alignment horizontal="center" vertical="center"/>
      <protection hidden="1"/>
    </xf>
    <xf numFmtId="165" fontId="13" fillId="0" borderId="0" xfId="2" applyNumberFormat="1" applyFont="1" applyFill="1" applyBorder="1" applyAlignment="1" applyProtection="1">
      <alignment horizontal="center"/>
      <protection hidden="1"/>
    </xf>
    <xf numFmtId="0" fontId="16" fillId="0" borderId="0" xfId="0" applyFont="1" applyFill="1" applyBorder="1" applyAlignment="1" applyProtection="1">
      <protection hidden="1"/>
    </xf>
    <xf numFmtId="0" fontId="13" fillId="0" borderId="0" xfId="0" applyFont="1" applyFill="1" applyBorder="1" applyAlignment="1" applyProtection="1">
      <alignment horizontal="left"/>
      <protection hidden="1"/>
    </xf>
    <xf numFmtId="0" fontId="11" fillId="0" borderId="0" xfId="0" applyFont="1" applyAlignment="1" applyProtection="1">
      <alignment horizontal="center"/>
      <protection hidden="1"/>
    </xf>
    <xf numFmtId="0" fontId="0" fillId="3" borderId="18" xfId="0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14" fillId="3" borderId="20" xfId="0" applyFont="1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5" fillId="0" borderId="20" xfId="0" applyFont="1" applyFill="1" applyBorder="1" applyAlignment="1" applyProtection="1">
      <alignment horizontal="center" vertical="center"/>
      <protection locked="0"/>
    </xf>
    <xf numFmtId="0" fontId="13" fillId="0" borderId="21" xfId="0" applyFont="1" applyFill="1" applyBorder="1" applyAlignment="1" applyProtection="1">
      <alignment horizontal="center"/>
      <protection locked="0"/>
    </xf>
    <xf numFmtId="0" fontId="13" fillId="0" borderId="23" xfId="0" applyFont="1" applyFill="1" applyBorder="1" applyProtection="1">
      <protection hidden="1"/>
    </xf>
    <xf numFmtId="0" fontId="13" fillId="0" borderId="24" xfId="0" applyFont="1" applyFill="1" applyBorder="1" applyAlignment="1" applyProtection="1">
      <alignment horizontal="center"/>
      <protection locked="0"/>
    </xf>
    <xf numFmtId="2" fontId="13" fillId="3" borderId="6" xfId="0" applyNumberFormat="1" applyFont="1" applyFill="1" applyBorder="1" applyAlignment="1" applyProtection="1">
      <alignment horizontal="center"/>
      <protection hidden="1"/>
    </xf>
    <xf numFmtId="165" fontId="13" fillId="3" borderId="1" xfId="2" applyNumberFormat="1" applyFont="1" applyFill="1" applyBorder="1" applyAlignment="1" applyProtection="1">
      <alignment horizontal="center"/>
      <protection hidden="1"/>
    </xf>
    <xf numFmtId="165" fontId="13" fillId="3" borderId="24" xfId="2" applyNumberFormat="1" applyFont="1" applyFill="1" applyBorder="1" applyAlignment="1" applyProtection="1">
      <alignment horizontal="center"/>
      <protection hidden="1"/>
    </xf>
    <xf numFmtId="0" fontId="36" fillId="0" borderId="0" xfId="0" applyFont="1" applyBorder="1" applyAlignment="1" applyProtection="1">
      <alignment horizontal="center" vertical="center"/>
      <protection hidden="1"/>
    </xf>
    <xf numFmtId="0" fontId="37" fillId="0" borderId="0" xfId="0" applyFont="1" applyProtection="1">
      <protection hidden="1"/>
    </xf>
    <xf numFmtId="0" fontId="13" fillId="0" borderId="1" xfId="0" applyFont="1" applyFill="1" applyBorder="1" applyAlignment="1" applyProtection="1">
      <alignment horizontal="left"/>
      <protection hidden="1"/>
    </xf>
    <xf numFmtId="0" fontId="13" fillId="0" borderId="1" xfId="0" applyFont="1" applyFill="1" applyBorder="1" applyAlignment="1" applyProtection="1">
      <alignment horizontal="center"/>
      <protection hidden="1"/>
    </xf>
    <xf numFmtId="2" fontId="13" fillId="0" borderId="1" xfId="0" applyNumberFormat="1" applyFont="1" applyFill="1" applyBorder="1" applyAlignment="1" applyProtection="1">
      <alignment horizontal="center"/>
      <protection hidden="1"/>
    </xf>
    <xf numFmtId="165" fontId="13" fillId="0" borderId="1" xfId="2" applyNumberFormat="1" applyFont="1" applyFill="1" applyBorder="1" applyAlignment="1" applyProtection="1">
      <alignment horizontal="center"/>
      <protection hidden="1"/>
    </xf>
    <xf numFmtId="0" fontId="39" fillId="3" borderId="1" xfId="0" applyFont="1" applyFill="1" applyBorder="1" applyAlignment="1" applyProtection="1">
      <alignment horizontal="center"/>
      <protection hidden="1"/>
    </xf>
    <xf numFmtId="0" fontId="40" fillId="0" borderId="0" xfId="0" applyFont="1" applyBorder="1" applyAlignment="1" applyProtection="1">
      <alignment horizontal="center" vertical="center"/>
      <protection hidden="1"/>
    </xf>
    <xf numFmtId="0" fontId="41" fillId="0" borderId="0" xfId="0" applyFont="1" applyProtection="1">
      <protection hidden="1"/>
    </xf>
    <xf numFmtId="0" fontId="41" fillId="0" borderId="0" xfId="0" applyFont="1" applyAlignment="1" applyProtection="1">
      <alignment horizontal="right"/>
      <protection hidden="1"/>
    </xf>
    <xf numFmtId="0" fontId="30" fillId="0" borderId="0" xfId="0" applyFont="1" applyFill="1" applyBorder="1" applyAlignment="1" applyProtection="1">
      <alignment horizontal="center" vertical="center" wrapText="1"/>
      <protection hidden="1"/>
    </xf>
    <xf numFmtId="164" fontId="39" fillId="0" borderId="0" xfId="0" applyNumberFormat="1" applyFont="1" applyFill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protection hidden="1"/>
    </xf>
    <xf numFmtId="0" fontId="45" fillId="0" borderId="0" xfId="0" applyFont="1" applyAlignment="1" applyProtection="1">
      <protection hidden="1"/>
    </xf>
    <xf numFmtId="0" fontId="46" fillId="0" borderId="0" xfId="0" applyFont="1" applyProtection="1">
      <protection hidden="1"/>
    </xf>
    <xf numFmtId="0" fontId="46" fillId="0" borderId="0" xfId="0" applyFont="1" applyAlignment="1" applyProtection="1">
      <protection hidden="1"/>
    </xf>
    <xf numFmtId="0" fontId="47" fillId="0" borderId="0" xfId="0" applyFont="1" applyFill="1" applyBorder="1" applyAlignment="1" applyProtection="1">
      <alignment horizontal="right"/>
      <protection hidden="1"/>
    </xf>
    <xf numFmtId="0" fontId="13" fillId="0" borderId="6" xfId="0" applyFont="1" applyFill="1" applyBorder="1" applyProtection="1">
      <protection locked="0"/>
    </xf>
    <xf numFmtId="0" fontId="17" fillId="0" borderId="6" xfId="0" applyFont="1" applyFill="1" applyBorder="1" applyAlignment="1" applyProtection="1">
      <alignment vertical="center"/>
      <protection locked="0"/>
    </xf>
    <xf numFmtId="0" fontId="38" fillId="3" borderId="20" xfId="0" applyFont="1" applyFill="1" applyBorder="1" applyAlignment="1" applyProtection="1">
      <alignment horizontal="left" vertical="center"/>
      <protection hidden="1"/>
    </xf>
    <xf numFmtId="0" fontId="38" fillId="3" borderId="20" xfId="0" applyFont="1" applyFill="1" applyBorder="1" applyAlignment="1" applyProtection="1">
      <alignment horizontal="center" vertical="center"/>
      <protection hidden="1"/>
    </xf>
    <xf numFmtId="0" fontId="0" fillId="3" borderId="19" xfId="0" applyFill="1" applyBorder="1" applyAlignment="1" applyProtection="1">
      <alignment horizontal="center" vertical="center"/>
      <protection hidden="1"/>
    </xf>
    <xf numFmtId="0" fontId="46" fillId="0" borderId="0" xfId="0" applyFont="1" applyBorder="1" applyProtection="1">
      <protection hidden="1"/>
    </xf>
    <xf numFmtId="0" fontId="50" fillId="0" borderId="1" xfId="0" applyFont="1" applyFill="1" applyBorder="1" applyAlignment="1" applyProtection="1">
      <protection locked="0"/>
    </xf>
    <xf numFmtId="0" fontId="50" fillId="0" borderId="1" xfId="3" applyFont="1" applyFill="1" applyBorder="1" applyAlignment="1" applyProtection="1">
      <protection locked="0"/>
    </xf>
    <xf numFmtId="0" fontId="13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protection hidden="1"/>
    </xf>
    <xf numFmtId="0" fontId="0" fillId="2" borderId="0" xfId="0" applyFont="1" applyFill="1" applyBorder="1" applyProtection="1">
      <protection hidden="1"/>
    </xf>
    <xf numFmtId="0" fontId="0" fillId="2" borderId="0" xfId="0" applyFont="1" applyFill="1" applyBorder="1" applyAlignment="1" applyProtection="1">
      <alignment vertical="center"/>
      <protection hidden="1"/>
    </xf>
    <xf numFmtId="0" fontId="0" fillId="0" borderId="0" xfId="0" applyAlignment="1" applyProtection="1">
      <alignment horizontal="left"/>
      <protection hidden="1"/>
    </xf>
    <xf numFmtId="0" fontId="14" fillId="0" borderId="0" xfId="0" applyFont="1" applyAlignment="1" applyProtection="1">
      <alignment horizontal="left"/>
      <protection hidden="1"/>
    </xf>
    <xf numFmtId="0" fontId="17" fillId="0" borderId="0" xfId="0" applyFont="1" applyAlignment="1" applyProtection="1">
      <alignment horizontal="left"/>
      <protection hidden="1"/>
    </xf>
    <xf numFmtId="0" fontId="0" fillId="0" borderId="0" xfId="0" applyFill="1" applyAlignment="1" applyProtection="1">
      <alignment horizontal="left"/>
      <protection hidden="1"/>
    </xf>
    <xf numFmtId="0" fontId="0" fillId="0" borderId="0" xfId="0" applyFill="1" applyAlignment="1" applyProtection="1">
      <alignment horizontal="center"/>
      <protection hidden="1"/>
    </xf>
    <xf numFmtId="0" fontId="0" fillId="0" borderId="0" xfId="0" applyAlignment="1" applyProtection="1">
      <alignment horizontal="right"/>
      <protection hidden="1"/>
    </xf>
    <xf numFmtId="0" fontId="37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 vertical="center"/>
      <protection hidden="1"/>
    </xf>
    <xf numFmtId="0" fontId="42" fillId="2" borderId="1" xfId="0" applyFont="1" applyFill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hidden="1"/>
    </xf>
    <xf numFmtId="0" fontId="55" fillId="0" borderId="0" xfId="0" applyFont="1" applyAlignment="1" applyProtection="1">
      <protection hidden="1"/>
    </xf>
    <xf numFmtId="0" fontId="55" fillId="0" borderId="0" xfId="0" applyFont="1" applyProtection="1">
      <protection hidden="1"/>
    </xf>
    <xf numFmtId="0" fontId="55" fillId="0" borderId="17" xfId="0" applyFont="1" applyFill="1" applyBorder="1" applyAlignment="1" applyProtection="1">
      <alignment horizontal="center" vertical="center" wrapText="1"/>
      <protection hidden="1"/>
    </xf>
    <xf numFmtId="0" fontId="55" fillId="0" borderId="21" xfId="0" applyFont="1" applyFill="1" applyBorder="1" applyAlignment="1" applyProtection="1">
      <alignment horizontal="center" vertical="center" wrapText="1"/>
      <protection hidden="1"/>
    </xf>
    <xf numFmtId="0" fontId="43" fillId="3" borderId="1" xfId="0" applyFont="1" applyFill="1" applyBorder="1" applyProtection="1">
      <protection hidden="1"/>
    </xf>
    <xf numFmtId="0" fontId="43" fillId="3" borderId="1" xfId="0" applyFont="1" applyFill="1" applyBorder="1" applyAlignment="1" applyProtection="1">
      <alignment vertical="center"/>
      <protection hidden="1"/>
    </xf>
    <xf numFmtId="0" fontId="55" fillId="3" borderId="20" xfId="0" applyFont="1" applyFill="1" applyBorder="1" applyProtection="1">
      <protection hidden="1"/>
    </xf>
    <xf numFmtId="0" fontId="16" fillId="0" borderId="1" xfId="0" applyFont="1" applyFill="1" applyBorder="1" applyAlignment="1" applyProtection="1">
      <protection hidden="1"/>
    </xf>
    <xf numFmtId="0" fontId="42" fillId="2" borderId="0" xfId="0" applyFont="1" applyFill="1" applyBorder="1" applyAlignment="1" applyProtection="1">
      <alignment vertical="center"/>
      <protection hidden="1"/>
    </xf>
    <xf numFmtId="0" fontId="53" fillId="3" borderId="1" xfId="0" applyFont="1" applyFill="1" applyBorder="1" applyProtection="1">
      <protection hidden="1"/>
    </xf>
    <xf numFmtId="0" fontId="54" fillId="0" borderId="1" xfId="0" applyFont="1" applyBorder="1" applyAlignment="1" applyProtection="1">
      <alignment horizontal="left" vertical="center"/>
      <protection locked="0"/>
    </xf>
    <xf numFmtId="0" fontId="54" fillId="0" borderId="1" xfId="0" applyFont="1" applyBorder="1" applyAlignment="1" applyProtection="1">
      <alignment vertical="center"/>
      <protection locked="0"/>
    </xf>
    <xf numFmtId="0" fontId="52" fillId="0" borderId="0" xfId="0" applyFont="1" applyProtection="1">
      <protection hidden="1"/>
    </xf>
    <xf numFmtId="0" fontId="25" fillId="0" borderId="0" xfId="0" applyFont="1" applyAlignment="1" applyProtection="1">
      <alignment horizontal="center" vertical="center"/>
    </xf>
    <xf numFmtId="0" fontId="0" fillId="3" borderId="21" xfId="0" applyFill="1" applyBorder="1" applyAlignment="1" applyProtection="1">
      <alignment horizontal="center"/>
      <protection hidden="1"/>
    </xf>
    <xf numFmtId="0" fontId="18" fillId="3" borderId="12" xfId="0" applyFont="1" applyFill="1" applyBorder="1" applyAlignment="1" applyProtection="1">
      <alignment horizontal="center" vertical="center" wrapText="1"/>
      <protection hidden="1"/>
    </xf>
    <xf numFmtId="2" fontId="39" fillId="3" borderId="28" xfId="0" applyNumberFormat="1" applyFont="1" applyFill="1" applyBorder="1" applyAlignment="1" applyProtection="1">
      <alignment horizontal="center"/>
      <protection hidden="1"/>
    </xf>
    <xf numFmtId="0" fontId="0" fillId="3" borderId="34" xfId="0" applyFill="1" applyBorder="1" applyAlignment="1" applyProtection="1">
      <alignment horizontal="center"/>
      <protection hidden="1"/>
    </xf>
    <xf numFmtId="0" fontId="54" fillId="0" borderId="0" xfId="4" applyFont="1" applyProtection="1">
      <protection hidden="1"/>
    </xf>
    <xf numFmtId="0" fontId="54" fillId="3" borderId="1" xfId="4" applyFont="1" applyFill="1" applyBorder="1" applyAlignment="1" applyProtection="1">
      <alignment horizontal="center"/>
      <protection hidden="1"/>
    </xf>
    <xf numFmtId="0" fontId="54" fillId="3" borderId="28" xfId="4" applyFont="1" applyFill="1" applyBorder="1" applyAlignment="1" applyProtection="1">
      <alignment horizontal="center"/>
      <protection hidden="1"/>
    </xf>
    <xf numFmtId="0" fontId="53" fillId="3" borderId="6" xfId="4" applyFont="1" applyFill="1" applyBorder="1" applyProtection="1">
      <protection hidden="1"/>
    </xf>
    <xf numFmtId="0" fontId="53" fillId="3" borderId="29" xfId="4" applyFont="1" applyFill="1" applyBorder="1" applyProtection="1">
      <protection hidden="1"/>
    </xf>
    <xf numFmtId="0" fontId="60" fillId="0" borderId="1" xfId="4" applyFont="1" applyBorder="1" applyAlignment="1" applyProtection="1">
      <alignment horizontal="left" vertical="center"/>
      <protection locked="0"/>
    </xf>
    <xf numFmtId="0" fontId="60" fillId="0" borderId="1" xfId="4" applyFont="1" applyBorder="1" applyAlignment="1" applyProtection="1">
      <alignment horizontal="center" vertical="center"/>
      <protection locked="0"/>
    </xf>
    <xf numFmtId="0" fontId="60" fillId="0" borderId="28" xfId="4" applyFont="1" applyBorder="1" applyAlignment="1" applyProtection="1">
      <alignment horizontal="center" vertical="center"/>
      <protection locked="0"/>
    </xf>
    <xf numFmtId="0" fontId="61" fillId="0" borderId="1" xfId="4" applyFont="1" applyBorder="1" applyAlignment="1" applyProtection="1">
      <alignment horizontal="center" vertical="center"/>
      <protection locked="0"/>
    </xf>
    <xf numFmtId="0" fontId="54" fillId="0" borderId="1" xfId="4" applyFont="1" applyBorder="1" applyAlignment="1" applyProtection="1">
      <alignment horizontal="center" vertical="center"/>
      <protection locked="0"/>
    </xf>
    <xf numFmtId="0" fontId="54" fillId="0" borderId="28" xfId="4" applyFont="1" applyBorder="1" applyAlignment="1" applyProtection="1">
      <alignment horizontal="center" vertical="center"/>
      <protection locked="0"/>
    </xf>
    <xf numFmtId="0" fontId="65" fillId="0" borderId="0" xfId="0" applyFont="1" applyBorder="1" applyAlignment="1" applyProtection="1">
      <alignment horizontal="center" vertical="center"/>
      <protection hidden="1"/>
    </xf>
    <xf numFmtId="0" fontId="66" fillId="0" borderId="0" xfId="0" applyFont="1" applyProtection="1"/>
    <xf numFmtId="0" fontId="56" fillId="0" borderId="0" xfId="0" applyFont="1" applyFill="1" applyProtection="1"/>
    <xf numFmtId="0" fontId="0" fillId="0" borderId="0" xfId="0" applyFill="1" applyAlignment="1" applyProtection="1">
      <alignment vertical="center"/>
      <protection hidden="1"/>
    </xf>
    <xf numFmtId="0" fontId="12" fillId="0" borderId="0" xfId="0" applyFont="1" applyFill="1" applyAlignment="1" applyProtection="1">
      <alignment horizontal="center" vertical="center"/>
      <protection hidden="1"/>
    </xf>
    <xf numFmtId="0" fontId="13" fillId="0" borderId="0" xfId="0" applyFont="1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34" fillId="0" borderId="12" xfId="0" applyFont="1" applyFill="1" applyBorder="1" applyAlignment="1" applyProtection="1">
      <alignment horizontal="center" vertical="center"/>
      <protection hidden="1"/>
    </xf>
    <xf numFmtId="0" fontId="0" fillId="0" borderId="20" xfId="0" applyFill="1" applyBorder="1" applyAlignment="1" applyProtection="1">
      <protection hidden="1"/>
    </xf>
    <xf numFmtId="0" fontId="37" fillId="0" borderId="0" xfId="0" applyFont="1" applyFill="1" applyBorder="1" applyAlignment="1" applyProtection="1">
      <alignment horizontal="center"/>
      <protection hidden="1"/>
    </xf>
    <xf numFmtId="0" fontId="67" fillId="0" borderId="0" xfId="0" applyFont="1" applyFill="1" applyBorder="1" applyAlignment="1" applyProtection="1">
      <protection hidden="1"/>
    </xf>
    <xf numFmtId="0" fontId="37" fillId="0" borderId="0" xfId="0" applyFont="1" applyFill="1" applyBorder="1" applyAlignment="1" applyProtection="1">
      <alignment horizontal="left"/>
      <protection hidden="1"/>
    </xf>
    <xf numFmtId="2" fontId="37" fillId="0" borderId="0" xfId="0" applyNumberFormat="1" applyFont="1" applyFill="1" applyBorder="1" applyAlignment="1" applyProtection="1">
      <alignment horizontal="center"/>
      <protection hidden="1"/>
    </xf>
    <xf numFmtId="165" fontId="37" fillId="0" borderId="0" xfId="2" applyNumberFormat="1" applyFont="1" applyFill="1" applyBorder="1" applyAlignment="1" applyProtection="1">
      <alignment horizontal="center"/>
      <protection hidden="1"/>
    </xf>
    <xf numFmtId="0" fontId="0" fillId="0" borderId="13" xfId="0" applyFill="1" applyBorder="1" applyAlignment="1" applyProtection="1">
      <alignment horizontal="center"/>
      <protection hidden="1"/>
    </xf>
    <xf numFmtId="0" fontId="0" fillId="0" borderId="13" xfId="0" applyFill="1" applyBorder="1" applyAlignment="1" applyProtection="1">
      <protection hidden="1"/>
    </xf>
    <xf numFmtId="0" fontId="0" fillId="0" borderId="13" xfId="0" applyFill="1" applyBorder="1" applyProtection="1">
      <protection hidden="1"/>
    </xf>
    <xf numFmtId="0" fontId="17" fillId="0" borderId="13" xfId="0" applyFont="1" applyFill="1" applyBorder="1" applyAlignment="1" applyProtection="1">
      <protection hidden="1"/>
    </xf>
    <xf numFmtId="0" fontId="0" fillId="0" borderId="25" xfId="0" applyFill="1" applyBorder="1" applyAlignment="1" applyProtection="1">
      <protection hidden="1"/>
    </xf>
    <xf numFmtId="0" fontId="48" fillId="0" borderId="0" xfId="0" applyFont="1" applyAlignment="1" applyProtection="1">
      <alignment horizontal="center" vertical="center" wrapText="1"/>
      <protection hidden="1"/>
    </xf>
    <xf numFmtId="1" fontId="70" fillId="3" borderId="1" xfId="0" applyNumberFormat="1" applyFont="1" applyFill="1" applyBorder="1" applyProtection="1">
      <protection hidden="1"/>
    </xf>
    <xf numFmtId="0" fontId="18" fillId="0" borderId="0" xfId="0" applyFont="1" applyAlignment="1" applyProtection="1">
      <alignment horizontal="center"/>
      <protection hidden="1"/>
    </xf>
    <xf numFmtId="0" fontId="55" fillId="3" borderId="12" xfId="0" applyFont="1" applyFill="1" applyBorder="1" applyAlignment="1" applyProtection="1">
      <alignment horizontal="center" vertical="center" wrapText="1"/>
      <protection hidden="1"/>
    </xf>
    <xf numFmtId="0" fontId="55" fillId="3" borderId="12" xfId="0" applyFont="1" applyFill="1" applyBorder="1" applyAlignment="1" applyProtection="1">
      <alignment horizontal="center" vertical="center" textRotation="90" wrapText="1"/>
      <protection hidden="1"/>
    </xf>
    <xf numFmtId="0" fontId="12" fillId="0" borderId="0" xfId="0" applyFont="1" applyAlignment="1" applyProtection="1">
      <alignment horizontal="center"/>
      <protection hidden="1"/>
    </xf>
    <xf numFmtId="0" fontId="71" fillId="4" borderId="0" xfId="0" applyFont="1" applyFill="1" applyProtection="1">
      <protection hidden="1"/>
    </xf>
    <xf numFmtId="0" fontId="71" fillId="4" borderId="0" xfId="0" applyFont="1" applyFill="1" applyAlignment="1" applyProtection="1">
      <alignment horizontal="center" vertical="center" wrapText="1"/>
      <protection hidden="1"/>
    </xf>
    <xf numFmtId="0" fontId="71" fillId="4" borderId="0" xfId="0" applyFont="1" applyFill="1" applyAlignment="1" applyProtection="1">
      <alignment horizontal="center"/>
      <protection hidden="1"/>
    </xf>
    <xf numFmtId="0" fontId="54" fillId="0" borderId="0" xfId="4" applyFont="1" applyAlignment="1" applyProtection="1">
      <alignment horizontal="center"/>
      <protection hidden="1"/>
    </xf>
    <xf numFmtId="0" fontId="64" fillId="0" borderId="0" xfId="4" applyFont="1" applyProtection="1">
      <protection hidden="1"/>
    </xf>
    <xf numFmtId="0" fontId="51" fillId="3" borderId="1" xfId="0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Protection="1">
      <protection hidden="1"/>
    </xf>
    <xf numFmtId="0" fontId="74" fillId="0" borderId="0" xfId="0" applyFont="1" applyFill="1" applyBorder="1" applyAlignment="1" applyProtection="1">
      <alignment horizontal="center" vertical="center"/>
      <protection hidden="1"/>
    </xf>
    <xf numFmtId="0" fontId="76" fillId="0" borderId="1" xfId="0" applyFont="1" applyFill="1" applyBorder="1" applyAlignment="1" applyProtection="1">
      <alignment horizontal="center" vertical="center"/>
      <protection locked="0"/>
    </xf>
    <xf numFmtId="0" fontId="50" fillId="2" borderId="3" xfId="0" applyFont="1" applyFill="1" applyBorder="1" applyProtection="1">
      <protection locked="0"/>
    </xf>
    <xf numFmtId="0" fontId="50" fillId="2" borderId="1" xfId="0" applyFont="1" applyFill="1" applyBorder="1" applyProtection="1">
      <protection locked="0"/>
    </xf>
    <xf numFmtId="0" fontId="50" fillId="2" borderId="1" xfId="0" applyFont="1" applyFill="1" applyBorder="1" applyAlignment="1" applyProtection="1">
      <alignment vertical="center"/>
      <protection locked="0"/>
    </xf>
    <xf numFmtId="0" fontId="51" fillId="3" borderId="1" xfId="0" applyFont="1" applyFill="1" applyBorder="1" applyAlignment="1" applyProtection="1">
      <alignment horizontal="right" vertical="center"/>
      <protection locked="0"/>
    </xf>
    <xf numFmtId="0" fontId="2" fillId="0" borderId="6" xfId="0" applyFont="1" applyFill="1" applyBorder="1" applyProtection="1">
      <protection locked="0"/>
    </xf>
    <xf numFmtId="0" fontId="2" fillId="0" borderId="20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24" xfId="0" applyFont="1" applyFill="1" applyBorder="1" applyAlignment="1" applyProtection="1">
      <alignment horizontal="center"/>
      <protection locked="0"/>
    </xf>
    <xf numFmtId="0" fontId="35" fillId="0" borderId="14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hidden="1"/>
    </xf>
    <xf numFmtId="0" fontId="66" fillId="0" borderId="0" xfId="0" applyFont="1" applyAlignment="1" applyProtection="1">
      <alignment vertical="center"/>
    </xf>
    <xf numFmtId="0" fontId="71" fillId="4" borderId="0" xfId="0" applyFont="1" applyFill="1" applyAlignment="1" applyProtection="1">
      <alignment vertical="center"/>
      <protection hidden="1"/>
    </xf>
    <xf numFmtId="0" fontId="21" fillId="0" borderId="0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Fill="1" applyAlignment="1" applyProtection="1">
      <alignment horizontal="center" vertical="center" wrapText="1"/>
      <protection hidden="1"/>
    </xf>
    <xf numFmtId="0" fontId="59" fillId="0" borderId="0" xfId="0" applyFont="1" applyFill="1" applyAlignment="1" applyProtection="1">
      <alignment horizontal="center" vertical="top" wrapText="1"/>
      <protection hidden="1"/>
    </xf>
    <xf numFmtId="0" fontId="23" fillId="0" borderId="0" xfId="1" applyFont="1" applyFill="1" applyAlignment="1" applyProtection="1">
      <alignment horizontal="center" vertical="center"/>
      <protection hidden="1"/>
    </xf>
    <xf numFmtId="0" fontId="21" fillId="0" borderId="0" xfId="0" applyFont="1" applyFill="1" applyAlignment="1" applyProtection="1">
      <alignment horizontal="center" vertical="center"/>
      <protection hidden="1"/>
    </xf>
    <xf numFmtId="0" fontId="73" fillId="0" borderId="0" xfId="0" applyFont="1" applyFill="1" applyBorder="1" applyAlignment="1" applyProtection="1">
      <alignment horizontal="center" vertical="center" wrapText="1"/>
      <protection locked="0"/>
    </xf>
    <xf numFmtId="0" fontId="75" fillId="0" borderId="0" xfId="0" applyFont="1" applyFill="1" applyBorder="1" applyAlignment="1" applyProtection="1">
      <alignment horizontal="center" wrapText="1"/>
      <protection locked="0"/>
    </xf>
    <xf numFmtId="0" fontId="73" fillId="0" borderId="0" xfId="0" applyFont="1" applyFill="1" applyBorder="1" applyAlignment="1" applyProtection="1">
      <alignment horizontal="center" vertical="center"/>
      <protection locked="0"/>
    </xf>
    <xf numFmtId="0" fontId="54" fillId="3" borderId="5" xfId="4" applyFont="1" applyFill="1" applyBorder="1" applyAlignment="1" applyProtection="1">
      <alignment horizontal="center" vertical="center" wrapText="1"/>
      <protection hidden="1"/>
    </xf>
    <xf numFmtId="0" fontId="54" fillId="3" borderId="6" xfId="4" applyFont="1" applyFill="1" applyBorder="1" applyAlignment="1" applyProtection="1">
      <alignment horizontal="center" vertical="center" wrapText="1"/>
      <protection hidden="1"/>
    </xf>
    <xf numFmtId="0" fontId="54" fillId="3" borderId="3" xfId="4" applyFont="1" applyFill="1" applyBorder="1" applyAlignment="1" applyProtection="1">
      <alignment horizontal="center" vertical="center"/>
      <protection hidden="1"/>
    </xf>
    <xf numFmtId="0" fontId="54" fillId="3" borderId="1" xfId="4" applyFont="1" applyFill="1" applyBorder="1" applyAlignment="1" applyProtection="1">
      <alignment horizontal="center" vertical="center"/>
      <protection hidden="1"/>
    </xf>
    <xf numFmtId="0" fontId="54" fillId="3" borderId="3" xfId="4" applyFont="1" applyFill="1" applyBorder="1" applyAlignment="1" applyProtection="1">
      <alignment horizontal="center"/>
      <protection hidden="1"/>
    </xf>
    <xf numFmtId="0" fontId="54" fillId="3" borderId="27" xfId="4" applyFont="1" applyFill="1" applyBorder="1" applyAlignment="1" applyProtection="1">
      <alignment horizontal="center"/>
      <protection hidden="1"/>
    </xf>
    <xf numFmtId="0" fontId="54" fillId="0" borderId="0" xfId="4" applyFont="1" applyAlignment="1" applyProtection="1">
      <alignment horizontal="center"/>
      <protection hidden="1"/>
    </xf>
    <xf numFmtId="0" fontId="54" fillId="0" borderId="35" xfId="4" applyFont="1" applyBorder="1" applyAlignment="1" applyProtection="1">
      <alignment horizontal="center"/>
      <protection hidden="1"/>
    </xf>
    <xf numFmtId="0" fontId="55" fillId="3" borderId="1" xfId="0" applyFont="1" applyFill="1" applyBorder="1" applyAlignment="1" applyProtection="1">
      <alignment horizontal="center" vertical="center" textRotation="90"/>
      <protection hidden="1"/>
    </xf>
    <xf numFmtId="0" fontId="55" fillId="3" borderId="1" xfId="0" applyFont="1" applyFill="1" applyBorder="1" applyAlignment="1" applyProtection="1">
      <alignment horizontal="center" vertical="center" wrapText="1"/>
      <protection hidden="1"/>
    </xf>
    <xf numFmtId="0" fontId="17" fillId="0" borderId="26" xfId="0" applyFont="1" applyBorder="1" applyAlignment="1" applyProtection="1">
      <alignment horizontal="center"/>
      <protection hidden="1"/>
    </xf>
    <xf numFmtId="0" fontId="11" fillId="0" borderId="0" xfId="0" applyFont="1" applyBorder="1" applyAlignment="1" applyProtection="1">
      <alignment horizontal="center" vertical="center" wrapText="1"/>
      <protection hidden="1"/>
    </xf>
    <xf numFmtId="0" fontId="55" fillId="3" borderId="12" xfId="0" applyFont="1" applyFill="1" applyBorder="1" applyAlignment="1" applyProtection="1">
      <alignment horizontal="center" vertical="center" wrapText="1"/>
      <protection hidden="1"/>
    </xf>
    <xf numFmtId="0" fontId="55" fillId="3" borderId="20" xfId="0" applyFont="1" applyFill="1" applyBorder="1" applyAlignment="1" applyProtection="1">
      <alignment horizontal="center" vertical="center" wrapText="1"/>
      <protection hidden="1"/>
    </xf>
    <xf numFmtId="0" fontId="15" fillId="0" borderId="0" xfId="0" applyFont="1" applyBorder="1" applyAlignment="1" applyProtection="1">
      <alignment horizontal="left" vertical="center"/>
      <protection hidden="1"/>
    </xf>
    <xf numFmtId="0" fontId="15" fillId="0" borderId="0" xfId="0" applyFont="1" applyBorder="1" applyAlignment="1" applyProtection="1">
      <alignment horizontal="center" vertical="center"/>
      <protection hidden="1"/>
    </xf>
    <xf numFmtId="0" fontId="0" fillId="0" borderId="26" xfId="0" applyBorder="1" applyAlignment="1" applyProtection="1">
      <alignment horizontal="center"/>
      <protection hidden="1"/>
    </xf>
    <xf numFmtId="0" fontId="0" fillId="0" borderId="26" xfId="0" applyFont="1" applyBorder="1" applyAlignment="1" applyProtection="1">
      <alignment horizontal="center" vertical="center" wrapText="1"/>
      <protection hidden="1"/>
    </xf>
    <xf numFmtId="0" fontId="55" fillId="3" borderId="12" xfId="0" applyFont="1" applyFill="1" applyBorder="1" applyAlignment="1" applyProtection="1">
      <alignment horizontal="center" vertical="center" textRotation="90" wrapText="1"/>
      <protection hidden="1"/>
    </xf>
    <xf numFmtId="0" fontId="55" fillId="3" borderId="20" xfId="0" applyFont="1" applyFill="1" applyBorder="1" applyAlignment="1" applyProtection="1">
      <alignment horizontal="center" vertical="center" textRotation="90" wrapText="1"/>
      <protection hidden="1"/>
    </xf>
    <xf numFmtId="0" fontId="55" fillId="3" borderId="1" xfId="0" applyFont="1" applyFill="1" applyBorder="1" applyAlignment="1" applyProtection="1">
      <alignment horizontal="center" vertical="center" textRotation="90" wrapText="1"/>
      <protection hidden="1"/>
    </xf>
    <xf numFmtId="0" fontId="63" fillId="3" borderId="32" xfId="0" applyFont="1" applyFill="1" applyBorder="1" applyAlignment="1" applyProtection="1">
      <alignment horizontal="center" vertical="center" wrapText="1"/>
      <protection hidden="1"/>
    </xf>
    <xf numFmtId="0" fontId="63" fillId="3" borderId="33" xfId="0" applyFont="1" applyFill="1" applyBorder="1" applyAlignment="1" applyProtection="1">
      <alignment horizontal="center" vertical="center" wrapText="1"/>
      <protection hidden="1"/>
    </xf>
    <xf numFmtId="0" fontId="32" fillId="3" borderId="3" xfId="0" applyFont="1" applyFill="1" applyBorder="1" applyAlignment="1" applyProtection="1">
      <alignment horizontal="center" vertical="center" wrapText="1"/>
      <protection hidden="1"/>
    </xf>
    <xf numFmtId="0" fontId="32" fillId="3" borderId="12" xfId="0" applyFont="1" applyFill="1" applyBorder="1" applyAlignment="1" applyProtection="1">
      <alignment horizontal="center" vertical="center" wrapText="1"/>
      <protection hidden="1"/>
    </xf>
    <xf numFmtId="0" fontId="0" fillId="3" borderId="21" xfId="0" applyFill="1" applyBorder="1" applyAlignment="1" applyProtection="1">
      <alignment horizontal="center"/>
      <protection hidden="1"/>
    </xf>
    <xf numFmtId="0" fontId="0" fillId="3" borderId="22" xfId="0" applyFill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29" fillId="3" borderId="7" xfId="0" applyFont="1" applyFill="1" applyBorder="1" applyAlignment="1" applyProtection="1">
      <alignment horizontal="center" vertical="center" wrapText="1"/>
      <protection hidden="1"/>
    </xf>
    <xf numFmtId="0" fontId="29" fillId="3" borderId="11" xfId="0" applyFont="1" applyFill="1" applyBorder="1" applyAlignment="1" applyProtection="1">
      <alignment horizontal="center" vertical="center" wrapText="1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13" xfId="0" applyFont="1" applyFill="1" applyBorder="1" applyAlignment="1" applyProtection="1">
      <alignment horizontal="center" vertical="center"/>
      <protection hidden="1"/>
    </xf>
    <xf numFmtId="0" fontId="18" fillId="3" borderId="3" xfId="0" applyFont="1" applyFill="1" applyBorder="1" applyAlignment="1" applyProtection="1">
      <alignment horizontal="center" vertical="center" wrapText="1"/>
      <protection hidden="1"/>
    </xf>
    <xf numFmtId="0" fontId="18" fillId="3" borderId="12" xfId="0" applyFont="1" applyFill="1" applyBorder="1" applyAlignment="1" applyProtection="1">
      <alignment horizontal="center" vertical="center" wrapText="1"/>
      <protection hidden="1"/>
    </xf>
    <xf numFmtId="0" fontId="18" fillId="3" borderId="8" xfId="0" applyFont="1" applyFill="1" applyBorder="1" applyAlignment="1" applyProtection="1">
      <alignment horizontal="center" vertical="center" wrapText="1"/>
      <protection hidden="1"/>
    </xf>
    <xf numFmtId="0" fontId="18" fillId="3" borderId="14" xfId="0" applyFont="1" applyFill="1" applyBorder="1" applyAlignment="1" applyProtection="1">
      <alignment horizontal="center" vertical="center" wrapText="1"/>
      <protection hidden="1"/>
    </xf>
    <xf numFmtId="0" fontId="30" fillId="3" borderId="3" xfId="0" applyFont="1" applyFill="1" applyBorder="1" applyAlignment="1" applyProtection="1">
      <alignment horizontal="center"/>
      <protection hidden="1"/>
    </xf>
    <xf numFmtId="0" fontId="32" fillId="3" borderId="10" xfId="0" applyFont="1" applyFill="1" applyBorder="1" applyAlignment="1" applyProtection="1">
      <alignment horizontal="center" vertical="center" wrapText="1"/>
      <protection hidden="1"/>
    </xf>
    <xf numFmtId="0" fontId="32" fillId="3" borderId="17" xfId="0" applyFont="1" applyFill="1" applyBorder="1" applyAlignment="1" applyProtection="1">
      <alignment horizontal="center" vertical="center" wrapText="1"/>
      <protection hidden="1"/>
    </xf>
    <xf numFmtId="0" fontId="32" fillId="3" borderId="5" xfId="0" applyFont="1" applyFill="1" applyBorder="1" applyAlignment="1" applyProtection="1">
      <alignment horizontal="center" vertical="center" wrapText="1"/>
      <protection hidden="1"/>
    </xf>
    <xf numFmtId="0" fontId="32" fillId="3" borderId="16" xfId="0" applyFont="1" applyFill="1" applyBorder="1" applyAlignment="1" applyProtection="1">
      <alignment horizontal="center" vertical="center" wrapText="1"/>
      <protection hidden="1"/>
    </xf>
    <xf numFmtId="0" fontId="31" fillId="3" borderId="3" xfId="0" applyFont="1" applyFill="1" applyBorder="1" applyAlignment="1" applyProtection="1">
      <alignment horizontal="center" vertical="center" wrapText="1"/>
      <protection hidden="1"/>
    </xf>
    <xf numFmtId="0" fontId="31" fillId="3" borderId="12" xfId="0" applyFont="1" applyFill="1" applyBorder="1" applyAlignment="1" applyProtection="1">
      <alignment horizontal="center" vertical="center" wrapText="1"/>
      <protection hidden="1"/>
    </xf>
    <xf numFmtId="0" fontId="18" fillId="3" borderId="9" xfId="0" applyFont="1" applyFill="1" applyBorder="1" applyAlignment="1" applyProtection="1">
      <alignment horizontal="center" vertical="center" wrapText="1"/>
      <protection hidden="1"/>
    </xf>
    <xf numFmtId="0" fontId="18" fillId="3" borderId="15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wrapText="1"/>
      <protection hidden="1"/>
    </xf>
    <xf numFmtId="0" fontId="69" fillId="0" borderId="12" xfId="0" applyFont="1" applyFill="1" applyBorder="1" applyAlignment="1" applyProtection="1">
      <alignment horizontal="center" vertical="center" wrapText="1"/>
      <protection hidden="1"/>
    </xf>
    <xf numFmtId="0" fontId="69" fillId="0" borderId="13" xfId="0" applyFont="1" applyFill="1" applyBorder="1" applyAlignment="1" applyProtection="1">
      <alignment horizontal="center" vertical="center" wrapText="1"/>
      <protection hidden="1"/>
    </xf>
    <xf numFmtId="0" fontId="34" fillId="0" borderId="12" xfId="0" applyFont="1" applyFill="1" applyBorder="1" applyAlignment="1" applyProtection="1">
      <alignment horizontal="center" vertical="center" wrapText="1"/>
      <protection hidden="1"/>
    </xf>
    <xf numFmtId="0" fontId="34" fillId="0" borderId="13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Border="1" applyAlignment="1" applyProtection="1">
      <alignment horizontal="center" vertical="center"/>
      <protection hidden="1"/>
    </xf>
    <xf numFmtId="0" fontId="68" fillId="0" borderId="12" xfId="0" applyFont="1" applyFill="1" applyBorder="1" applyAlignment="1" applyProtection="1">
      <alignment horizontal="center" vertical="center" wrapText="1"/>
      <protection hidden="1"/>
    </xf>
    <xf numFmtId="0" fontId="68" fillId="0" borderId="13" xfId="0" applyFont="1" applyFill="1" applyBorder="1" applyAlignment="1" applyProtection="1">
      <alignment horizontal="center" vertical="center" wrapText="1"/>
      <protection hidden="1"/>
    </xf>
    <xf numFmtId="0" fontId="33" fillId="0" borderId="1" xfId="0" applyFont="1" applyFill="1" applyBorder="1" applyAlignment="1" applyProtection="1">
      <alignment horizontal="center"/>
      <protection hidden="1"/>
    </xf>
    <xf numFmtId="0" fontId="33" fillId="0" borderId="12" xfId="0" applyFont="1" applyFill="1" applyBorder="1" applyAlignment="1" applyProtection="1">
      <alignment horizontal="center" vertical="center" wrapText="1"/>
      <protection hidden="1"/>
    </xf>
    <xf numFmtId="0" fontId="33" fillId="0" borderId="13" xfId="0" applyFont="1" applyFill="1" applyBorder="1" applyAlignment="1" applyProtection="1">
      <alignment horizontal="center" vertical="center" wrapText="1"/>
      <protection hidden="1"/>
    </xf>
    <xf numFmtId="0" fontId="27" fillId="0" borderId="12" xfId="0" applyFont="1" applyFill="1" applyBorder="1" applyAlignment="1" applyProtection="1">
      <alignment horizontal="center" vertical="center" wrapText="1"/>
      <protection hidden="1"/>
    </xf>
    <xf numFmtId="0" fontId="27" fillId="0" borderId="13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Alignment="1" applyProtection="1">
      <alignment horizontal="center" wrapText="1"/>
      <protection hidden="1"/>
    </xf>
    <xf numFmtId="0" fontId="12" fillId="0" borderId="0" xfId="0" applyFont="1" applyFill="1" applyAlignment="1" applyProtection="1">
      <alignment horizontal="center" vertical="center"/>
      <protection hidden="1"/>
    </xf>
    <xf numFmtId="0" fontId="33" fillId="0" borderId="25" xfId="0" applyFont="1" applyFill="1" applyBorder="1" applyAlignment="1" applyProtection="1">
      <alignment horizontal="center" vertical="center" wrapText="1"/>
      <protection hidden="1"/>
    </xf>
    <xf numFmtId="0" fontId="34" fillId="0" borderId="25" xfId="0" applyFont="1" applyFill="1" applyBorder="1" applyAlignment="1" applyProtection="1">
      <alignment horizontal="center" vertical="center" wrapText="1"/>
      <protection hidden="1"/>
    </xf>
    <xf numFmtId="0" fontId="27" fillId="0" borderId="1" xfId="0" applyFont="1" applyFill="1" applyBorder="1" applyAlignment="1" applyProtection="1">
      <alignment horizontal="center"/>
      <protection hidden="1"/>
    </xf>
    <xf numFmtId="0" fontId="34" fillId="0" borderId="1" xfId="0" applyFont="1" applyFill="1" applyBorder="1" applyAlignment="1" applyProtection="1">
      <alignment horizontal="center" vertical="center" wrapText="1"/>
      <protection hidden="1"/>
    </xf>
    <xf numFmtId="0" fontId="34" fillId="0" borderId="1" xfId="0" applyFont="1" applyFill="1" applyBorder="1" applyAlignment="1" applyProtection="1"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33" fillId="0" borderId="1" xfId="0" applyFont="1" applyFill="1" applyBorder="1" applyAlignment="1" applyProtection="1">
      <alignment horizontal="center" vertical="center" wrapText="1"/>
      <protection hidden="1"/>
    </xf>
    <xf numFmtId="0" fontId="34" fillId="0" borderId="1" xfId="0" applyFont="1" applyFill="1" applyBorder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18" fillId="0" borderId="0" xfId="0" applyFont="1" applyAlignment="1" applyProtection="1">
      <alignment horizontal="center" wrapText="1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/>
      <protection hidden="1"/>
    </xf>
    <xf numFmtId="0" fontId="72" fillId="0" borderId="0" xfId="0" applyFont="1" applyFill="1" applyBorder="1" applyAlignment="1" applyProtection="1">
      <alignment horizontal="center" wrapText="1"/>
      <protection locked="0"/>
    </xf>
    <xf numFmtId="0" fontId="58" fillId="0" borderId="0" xfId="0" applyFont="1" applyFill="1" applyBorder="1" applyAlignment="1" applyProtection="1">
      <alignment horizontal="center" vertical="top"/>
      <protection locked="0"/>
    </xf>
    <xf numFmtId="0" fontId="78" fillId="0" borderId="0" xfId="0" applyFont="1" applyFill="1" applyAlignment="1" applyProtection="1">
      <alignment horizontal="right"/>
      <protection hidden="1"/>
    </xf>
    <xf numFmtId="0" fontId="79" fillId="0" borderId="0" xfId="0" applyFont="1" applyFill="1" applyAlignment="1" applyProtection="1">
      <alignment horizontal="left"/>
      <protection hidden="1"/>
    </xf>
    <xf numFmtId="0" fontId="79" fillId="0" borderId="0" xfId="0" applyFont="1" applyFill="1" applyAlignment="1" applyProtection="1">
      <alignment horizontal="right"/>
    </xf>
    <xf numFmtId="0" fontId="81" fillId="0" borderId="0" xfId="0" applyFont="1" applyFill="1" applyAlignment="1" applyProtection="1">
      <alignment horizontal="right"/>
    </xf>
    <xf numFmtId="0" fontId="60" fillId="0" borderId="30" xfId="4" applyFont="1" applyBorder="1" applyAlignment="1" applyProtection="1">
      <alignment horizontal="left" vertical="center"/>
      <protection locked="0"/>
    </xf>
    <xf numFmtId="0" fontId="60" fillId="0" borderId="30" xfId="4" applyFont="1" applyBorder="1" applyAlignment="1" applyProtection="1">
      <alignment horizontal="center" vertical="center"/>
      <protection locked="0"/>
    </xf>
    <xf numFmtId="0" fontId="60" fillId="0" borderId="31" xfId="4" applyFont="1" applyBorder="1" applyAlignment="1" applyProtection="1">
      <alignment horizontal="center" vertical="center"/>
      <protection locked="0"/>
    </xf>
    <xf numFmtId="0" fontId="76" fillId="0" borderId="2" xfId="0" applyFont="1" applyFill="1" applyBorder="1" applyAlignment="1" applyProtection="1">
      <alignment horizontal="center" vertical="center"/>
      <protection locked="0"/>
    </xf>
    <xf numFmtId="0" fontId="76" fillId="0" borderId="0" xfId="0" applyFont="1" applyFill="1" applyBorder="1" applyAlignment="1" applyProtection="1">
      <alignment horizontal="center" vertical="center"/>
      <protection locked="0"/>
    </xf>
    <xf numFmtId="0" fontId="53" fillId="0" borderId="2" xfId="0" applyFont="1" applyFill="1" applyBorder="1" applyProtection="1">
      <protection hidden="1"/>
    </xf>
    <xf numFmtId="0" fontId="54" fillId="0" borderId="2" xfId="0" applyFont="1" applyFill="1" applyBorder="1" applyAlignment="1" applyProtection="1">
      <alignment horizontal="left" vertical="center"/>
      <protection locked="0"/>
    </xf>
    <xf numFmtId="0" fontId="53" fillId="0" borderId="0" xfId="0" applyFont="1" applyFill="1" applyBorder="1" applyProtection="1">
      <protection hidden="1"/>
    </xf>
    <xf numFmtId="0" fontId="54" fillId="0" borderId="0" xfId="0" applyFont="1" applyFill="1" applyBorder="1" applyAlignment="1" applyProtection="1">
      <alignment horizontal="left" vertical="center"/>
      <protection locked="0"/>
    </xf>
    <xf numFmtId="0" fontId="54" fillId="0" borderId="0" xfId="0" applyFont="1" applyFill="1" applyBorder="1" applyAlignment="1" applyProtection="1">
      <alignment vertical="center"/>
      <protection locked="0"/>
    </xf>
    <xf numFmtId="0" fontId="77" fillId="0" borderId="0" xfId="0" applyFont="1" applyFill="1" applyBorder="1" applyAlignment="1" applyProtection="1">
      <alignment vertical="center"/>
      <protection locked="0"/>
    </xf>
    <xf numFmtId="0" fontId="51" fillId="0" borderId="2" xfId="0" applyFont="1" applyFill="1" applyBorder="1" applyAlignment="1" applyProtection="1">
      <alignment horizontal="center"/>
      <protection hidden="1"/>
    </xf>
    <xf numFmtId="0" fontId="42" fillId="0" borderId="2" xfId="0" applyFont="1" applyFill="1" applyBorder="1" applyAlignment="1" applyProtection="1">
      <alignment vertical="center"/>
      <protection locked="0"/>
    </xf>
    <xf numFmtId="0" fontId="51" fillId="0" borderId="0" xfId="0" applyFont="1" applyFill="1" applyBorder="1" applyAlignment="1" applyProtection="1">
      <alignment horizontal="center"/>
      <protection hidden="1"/>
    </xf>
    <xf numFmtId="0" fontId="42" fillId="0" borderId="0" xfId="0" applyFont="1" applyFill="1" applyBorder="1" applyAlignment="1" applyProtection="1">
      <alignment vertical="center"/>
      <protection locked="0"/>
    </xf>
    <xf numFmtId="1" fontId="70" fillId="0" borderId="2" xfId="0" applyNumberFormat="1" applyFont="1" applyFill="1" applyBorder="1" applyProtection="1">
      <protection hidden="1"/>
    </xf>
    <xf numFmtId="0" fontId="50" fillId="0" borderId="2" xfId="0" applyFont="1" applyFill="1" applyBorder="1" applyProtection="1">
      <protection locked="0"/>
    </xf>
    <xf numFmtId="1" fontId="70" fillId="0" borderId="0" xfId="0" applyNumberFormat="1" applyFont="1" applyFill="1" applyBorder="1" applyProtection="1">
      <protection hidden="1"/>
    </xf>
    <xf numFmtId="0" fontId="50" fillId="0" borderId="0" xfId="0" applyFont="1" applyFill="1" applyBorder="1" applyAlignment="1" applyProtection="1">
      <protection locked="0"/>
    </xf>
    <xf numFmtId="0" fontId="50" fillId="0" borderId="0" xfId="0" applyFont="1" applyFill="1" applyBorder="1" applyProtection="1">
      <protection locked="0"/>
    </xf>
    <xf numFmtId="0" fontId="50" fillId="2" borderId="0" xfId="0" applyFont="1" applyFill="1" applyBorder="1" applyProtection="1">
      <protection locked="0"/>
    </xf>
    <xf numFmtId="0" fontId="50" fillId="0" borderId="0" xfId="3" applyFont="1" applyFill="1" applyBorder="1" applyAlignment="1" applyProtection="1">
      <protection locked="0"/>
    </xf>
    <xf numFmtId="0" fontId="62" fillId="0" borderId="2" xfId="0" applyFont="1" applyFill="1" applyBorder="1" applyAlignment="1" applyProtection="1">
      <alignment horizontal="center"/>
      <protection hidden="1"/>
    </xf>
    <xf numFmtId="0" fontId="54" fillId="0" borderId="2" xfId="0" applyFont="1" applyFill="1" applyBorder="1" applyAlignment="1" applyProtection="1">
      <alignment vertical="center"/>
      <protection locked="0"/>
    </xf>
    <xf numFmtId="0" fontId="62" fillId="0" borderId="0" xfId="0" applyFont="1" applyFill="1" applyBorder="1" applyAlignment="1" applyProtection="1">
      <alignment horizontal="center"/>
      <protection hidden="1"/>
    </xf>
    <xf numFmtId="0" fontId="16" fillId="0" borderId="2" xfId="0" applyFont="1" applyFill="1" applyBorder="1" applyAlignment="1" applyProtection="1">
      <protection hidden="1"/>
    </xf>
    <xf numFmtId="0" fontId="13" fillId="0" borderId="2" xfId="0" applyFont="1" applyFill="1" applyBorder="1" applyAlignment="1" applyProtection="1">
      <alignment horizontal="left"/>
      <protection hidden="1"/>
    </xf>
    <xf numFmtId="0" fontId="13" fillId="0" borderId="2" xfId="0" applyFont="1" applyFill="1" applyBorder="1" applyAlignment="1" applyProtection="1">
      <alignment horizontal="center"/>
      <protection hidden="1"/>
    </xf>
    <xf numFmtId="2" fontId="13" fillId="0" borderId="2" xfId="0" applyNumberFormat="1" applyFont="1" applyFill="1" applyBorder="1" applyAlignment="1" applyProtection="1">
      <alignment horizontal="center"/>
      <protection hidden="1"/>
    </xf>
    <xf numFmtId="165" fontId="13" fillId="0" borderId="2" xfId="2" applyNumberFormat="1" applyFont="1" applyFill="1" applyBorder="1" applyAlignment="1" applyProtection="1">
      <alignment horizontal="center"/>
      <protection hidden="1"/>
    </xf>
  </cellXfs>
  <cellStyles count="5">
    <cellStyle name="Гиперссылка" xfId="1" builtinId="8"/>
    <cellStyle name="Обычный" xfId="0" builtinId="0"/>
    <cellStyle name="Обычный 2" xfId="4"/>
    <cellStyle name="Обычный_База3_Нагрузка" xfId="3"/>
    <cellStyle name="Процентный" xfId="2" builtinId="5"/>
  </cellStyles>
  <dxfs count="87">
    <dxf>
      <font>
        <strike val="0"/>
        <color rgb="FFFF0000"/>
      </font>
      <fill>
        <patternFill>
          <bgColor theme="6" tint="0.79998168889431442"/>
        </patternFill>
      </fill>
    </dxf>
    <dxf>
      <font>
        <strike val="0"/>
        <color rgb="FF0000CC"/>
      </font>
      <fill>
        <patternFill>
          <bgColor theme="6" tint="0.79998168889431442"/>
        </patternFill>
      </fill>
    </dxf>
    <dxf>
      <font>
        <strike val="0"/>
        <color rgb="FF009900"/>
      </font>
      <fill>
        <patternFill>
          <bgColor theme="6" tint="0.79998168889431442"/>
        </patternFill>
      </fill>
    </dxf>
    <dxf>
      <font>
        <strike val="0"/>
        <color rgb="FFFF0000"/>
      </font>
      <fill>
        <patternFill>
          <bgColor rgb="FFFF0000"/>
        </patternFill>
      </fill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2"/>
      </font>
    </dxf>
    <dxf>
      <font>
        <strike val="0"/>
        <condense val="0"/>
        <extend val="0"/>
        <color indexed="17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indexed="12"/>
      </font>
    </dxf>
    <dxf>
      <font>
        <strike val="0"/>
        <condense val="0"/>
        <extend val="0"/>
        <color indexed="17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indexed="12"/>
      </font>
    </dxf>
    <dxf>
      <font>
        <strike val="0"/>
        <condense val="0"/>
        <extend val="0"/>
        <color indexed="17"/>
      </font>
    </dxf>
    <dxf>
      <font>
        <strike val="0"/>
        <condense val="0"/>
        <extend val="0"/>
        <color indexed="17"/>
      </font>
    </dxf>
    <dxf>
      <font>
        <strike val="0"/>
        <condense val="0"/>
        <extend val="0"/>
        <color indexed="12"/>
      </font>
    </dxf>
    <dxf>
      <font>
        <strike val="0"/>
        <condense val="0"/>
        <extend val="0"/>
        <color indexed="10"/>
      </font>
    </dxf>
    <dxf>
      <font>
        <strike val="0"/>
        <color rgb="FFFF0000"/>
      </font>
      <fill>
        <patternFill patternType="none">
          <bgColor auto="1"/>
        </patternFill>
      </fill>
    </dxf>
    <dxf>
      <font>
        <strike val="0"/>
        <color rgb="FF0000CC"/>
      </font>
      <fill>
        <patternFill patternType="none">
          <bgColor auto="1"/>
        </patternFill>
      </fill>
    </dxf>
    <dxf>
      <font>
        <strike val="0"/>
        <color rgb="FF009900"/>
      </font>
      <fill>
        <patternFill patternType="none">
          <bgColor auto="1"/>
        </patternFill>
      </fill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indexed="12"/>
      </font>
    </dxf>
    <dxf>
      <font>
        <strike val="0"/>
        <condense val="0"/>
        <extend val="0"/>
        <color indexed="17"/>
      </font>
    </dxf>
    <dxf>
      <font>
        <strike val="0"/>
        <condense val="0"/>
        <extend val="0"/>
        <color indexed="17"/>
      </font>
    </dxf>
    <dxf>
      <font>
        <strike val="0"/>
        <condense val="0"/>
        <extend val="0"/>
        <color indexed="12"/>
      </font>
    </dxf>
    <dxf>
      <font>
        <strike val="0"/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2"/>
      </font>
    </dxf>
    <dxf>
      <font>
        <strike val="0"/>
        <condense val="0"/>
        <extend val="0"/>
        <color indexed="17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indexed="12"/>
      </font>
    </dxf>
    <dxf>
      <font>
        <strike val="0"/>
        <condense val="0"/>
        <extend val="0"/>
        <color indexed="17"/>
      </font>
    </dxf>
    <dxf>
      <font>
        <strike val="0"/>
        <color rgb="FFFF0000"/>
      </font>
      <fill>
        <patternFill patternType="none">
          <bgColor auto="1"/>
        </patternFill>
      </fill>
    </dxf>
    <dxf>
      <font>
        <strike val="0"/>
        <color rgb="FF0000CC"/>
      </font>
      <fill>
        <patternFill patternType="none">
          <bgColor auto="1"/>
        </patternFill>
      </fill>
    </dxf>
    <dxf>
      <font>
        <strike val="0"/>
        <color rgb="FF009900"/>
      </font>
      <fill>
        <patternFill patternType="none">
          <bgColor auto="1"/>
        </patternFill>
      </fill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indexed="12"/>
      </font>
    </dxf>
    <dxf>
      <font>
        <strike val="0"/>
        <condense val="0"/>
        <extend val="0"/>
        <color indexed="17"/>
      </font>
    </dxf>
    <dxf>
      <font>
        <strike val="0"/>
        <condense val="0"/>
        <extend val="0"/>
        <color indexed="17"/>
      </font>
    </dxf>
    <dxf>
      <font>
        <strike val="0"/>
        <condense val="0"/>
        <extend val="0"/>
        <color indexed="12"/>
      </font>
    </dxf>
    <dxf>
      <font>
        <strike val="0"/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2"/>
      </font>
    </dxf>
    <dxf>
      <font>
        <strike val="0"/>
        <condense val="0"/>
        <extend val="0"/>
        <color indexed="17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indexed="12"/>
      </font>
    </dxf>
    <dxf>
      <font>
        <strike val="0"/>
        <condense val="0"/>
        <extend val="0"/>
        <color indexed="17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indexed="12"/>
      </font>
    </dxf>
    <dxf>
      <font>
        <strike val="0"/>
        <condense val="0"/>
        <extend val="0"/>
        <color indexed="17"/>
      </font>
    </dxf>
    <dxf>
      <font>
        <strike val="0"/>
        <condense val="0"/>
        <extend val="0"/>
        <color indexed="17"/>
      </font>
    </dxf>
    <dxf>
      <font>
        <strike val="0"/>
        <condense val="0"/>
        <extend val="0"/>
        <color indexed="12"/>
      </font>
    </dxf>
    <dxf>
      <font>
        <strike val="0"/>
        <condense val="0"/>
        <extend val="0"/>
        <color indexed="10"/>
      </font>
    </dxf>
    <dxf>
      <font>
        <strike val="0"/>
        <color auto="1"/>
      </font>
      <fill>
        <patternFill patternType="solid">
          <bgColor theme="6" tint="0.79998168889431442"/>
        </patternFill>
      </fill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indexed="12"/>
      </font>
    </dxf>
    <dxf>
      <font>
        <strike val="0"/>
        <condense val="0"/>
        <extend val="0"/>
        <color indexed="17"/>
      </font>
    </dxf>
    <dxf>
      <font>
        <strike val="0"/>
        <condense val="0"/>
        <extend val="0"/>
        <color indexed="17"/>
      </font>
    </dxf>
    <dxf>
      <font>
        <strike val="0"/>
        <condense val="0"/>
        <extend val="0"/>
        <color indexed="12"/>
      </font>
    </dxf>
    <dxf>
      <font>
        <strike val="0"/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2"/>
      </font>
    </dxf>
    <dxf>
      <font>
        <strike val="0"/>
        <condense val="0"/>
        <extend val="0"/>
        <color indexed="17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indexed="12"/>
      </font>
    </dxf>
    <dxf>
      <font>
        <strike val="0"/>
        <condense val="0"/>
        <extend val="0"/>
        <color indexed="17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indexed="12"/>
      </font>
    </dxf>
    <dxf>
      <font>
        <strike val="0"/>
        <condense val="0"/>
        <extend val="0"/>
        <color indexed="17"/>
      </font>
    </dxf>
    <dxf>
      <font>
        <strike val="0"/>
        <condense val="0"/>
        <extend val="0"/>
        <color indexed="17"/>
      </font>
    </dxf>
    <dxf>
      <font>
        <strike val="0"/>
        <condense val="0"/>
        <extend val="0"/>
        <color indexed="12"/>
      </font>
    </dxf>
    <dxf>
      <font>
        <strike val="0"/>
        <condense val="0"/>
        <extend val="0"/>
        <color indexed="10"/>
      </font>
    </dxf>
  </dxfs>
  <tableStyles count="0" defaultTableStyle="TableStyleMedium9" defaultPivotStyle="PivotStyleLight16"/>
  <colors>
    <mruColors>
      <color rgb="FF0000CC"/>
      <color rgb="FF800000"/>
      <color rgb="FF990000"/>
      <color rgb="FF009900"/>
      <color rgb="FF9933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4.2276489895340934E-2"/>
          <c:y val="1.5989769046212126E-3"/>
          <c:w val="0.95122102264518482"/>
          <c:h val="0.99712199772177024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Список!$J$6:$J$85</c:f>
              <c:strCache>
                <c:ptCount val="43"/>
                <c:pt idx="0">
                  <c:v>Адамян С.Ю.</c:v>
                </c:pt>
                <c:pt idx="1">
                  <c:v>Алферова Н. М.</c:v>
                </c:pt>
                <c:pt idx="2">
                  <c:v>Белякова Ю. В.</c:v>
                </c:pt>
                <c:pt idx="3">
                  <c:v>Борисова М. А.</c:v>
                </c:pt>
                <c:pt idx="4">
                  <c:v>Ващенко Л. Ю.</c:v>
                </c:pt>
                <c:pt idx="5">
                  <c:v>Гладкая И В</c:v>
                </c:pt>
                <c:pt idx="6">
                  <c:v>Даниленко И. Н.</c:v>
                </c:pt>
                <c:pt idx="7">
                  <c:v>Зайцева Н. А.</c:v>
                </c:pt>
                <c:pt idx="8">
                  <c:v>Закарлюка А. Г.</c:v>
                </c:pt>
                <c:pt idx="9">
                  <c:v>Каменская Н. В.</c:v>
                </c:pt>
                <c:pt idx="10">
                  <c:v>Касьянова Н. А.</c:v>
                </c:pt>
                <c:pt idx="11">
                  <c:v>Клочко А. М.</c:v>
                </c:pt>
                <c:pt idx="12">
                  <c:v>Кожанова О. В.</c:v>
                </c:pt>
                <c:pt idx="13">
                  <c:v>Колядина Г. Н.</c:v>
                </c:pt>
                <c:pt idx="14">
                  <c:v>Кравченко Л. И.</c:v>
                </c:pt>
                <c:pt idx="15">
                  <c:v>Кузнецова Н.М. </c:v>
                </c:pt>
                <c:pt idx="16">
                  <c:v>Лавриненко В. Д.</c:v>
                </c:pt>
                <c:pt idx="17">
                  <c:v>Ланова Н.Ю.</c:v>
                </c:pt>
                <c:pt idx="18">
                  <c:v>Литвинова  А. И.</c:v>
                </c:pt>
                <c:pt idx="19">
                  <c:v>Логвиненко Н. А.</c:v>
                </c:pt>
                <c:pt idx="20">
                  <c:v>Маслова Е. В.</c:v>
                </c:pt>
                <c:pt idx="21">
                  <c:v>Мельникова Л. Н.</c:v>
                </c:pt>
                <c:pt idx="22">
                  <c:v>Нагорная Н. П.</c:v>
                </c:pt>
                <c:pt idx="23">
                  <c:v>Насонова И. В.</c:v>
                </c:pt>
                <c:pt idx="24">
                  <c:v>Никулина М.А.</c:v>
                </c:pt>
                <c:pt idx="25">
                  <c:v>Новикова А. Р.</c:v>
                </c:pt>
                <c:pt idx="26">
                  <c:v>Олейникова  И. Ю.</c:v>
                </c:pt>
                <c:pt idx="27">
                  <c:v>Павлющик О.И.</c:v>
                </c:pt>
                <c:pt idx="28">
                  <c:v>Палиева А. И.</c:v>
                </c:pt>
                <c:pt idx="29">
                  <c:v>Полунина В. В.</c:v>
                </c:pt>
                <c:pt idx="30">
                  <c:v>Полякова Е. В.</c:v>
                </c:pt>
                <c:pt idx="31">
                  <c:v>Попова Т. А.</c:v>
                </c:pt>
                <c:pt idx="32">
                  <c:v>Простова Н. А.</c:v>
                </c:pt>
                <c:pt idx="33">
                  <c:v>Руденко Н.Ю.</c:v>
                </c:pt>
                <c:pt idx="34">
                  <c:v>Румянцева И. В.</c:v>
                </c:pt>
                <c:pt idx="35">
                  <c:v>Самойленко Н. Ф.</c:v>
                </c:pt>
                <c:pt idx="36">
                  <c:v>Скокова Е. В.</c:v>
                </c:pt>
                <c:pt idx="37">
                  <c:v>Сорокина М. В.</c:v>
                </c:pt>
                <c:pt idx="38">
                  <c:v>Тулинов Н. И. </c:v>
                </c:pt>
                <c:pt idx="39">
                  <c:v>Филенко Н. Ю.</c:v>
                </c:pt>
                <c:pt idx="40">
                  <c:v>Филькина И. Н.</c:v>
                </c:pt>
                <c:pt idx="41">
                  <c:v>Юркова М. Ю.</c:v>
                </c:pt>
                <c:pt idx="42">
                  <c:v>Ящук Е. Ю.</c:v>
                </c:pt>
              </c:strCache>
            </c:strRef>
          </c:cat>
          <c:val>
            <c:numRef>
              <c:f>'Таблица Учитель'!$B$6:$B$36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</c:ser>
        <c:ser>
          <c:idx val="1"/>
          <c:order val="1"/>
          <c:spPr>
            <a:gradFill rotWithShape="0">
              <a:gsLst>
                <a:gs pos="0">
                  <a:srgbClr val="FF00FF">
                    <a:gamma/>
                    <a:shade val="46275"/>
                    <a:invGamma/>
                  </a:srgbClr>
                </a:gs>
                <a:gs pos="50000">
                  <a:srgbClr val="FF00FF"/>
                </a:gs>
                <a:gs pos="100000">
                  <a:srgbClr val="FF00FF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showVal val="1"/>
          </c:dLbls>
          <c:cat>
            <c:strRef>
              <c:f>Список!$J$6:$J$85</c:f>
              <c:strCache>
                <c:ptCount val="43"/>
                <c:pt idx="0">
                  <c:v>Адамян С.Ю.</c:v>
                </c:pt>
                <c:pt idx="1">
                  <c:v>Алферова Н. М.</c:v>
                </c:pt>
                <c:pt idx="2">
                  <c:v>Белякова Ю. В.</c:v>
                </c:pt>
                <c:pt idx="3">
                  <c:v>Борисова М. А.</c:v>
                </c:pt>
                <c:pt idx="4">
                  <c:v>Ващенко Л. Ю.</c:v>
                </c:pt>
                <c:pt idx="5">
                  <c:v>Гладкая И В</c:v>
                </c:pt>
                <c:pt idx="6">
                  <c:v>Даниленко И. Н.</c:v>
                </c:pt>
                <c:pt idx="7">
                  <c:v>Зайцева Н. А.</c:v>
                </c:pt>
                <c:pt idx="8">
                  <c:v>Закарлюка А. Г.</c:v>
                </c:pt>
                <c:pt idx="9">
                  <c:v>Каменская Н. В.</c:v>
                </c:pt>
                <c:pt idx="10">
                  <c:v>Касьянова Н. А.</c:v>
                </c:pt>
                <c:pt idx="11">
                  <c:v>Клочко А. М.</c:v>
                </c:pt>
                <c:pt idx="12">
                  <c:v>Кожанова О. В.</c:v>
                </c:pt>
                <c:pt idx="13">
                  <c:v>Колядина Г. Н.</c:v>
                </c:pt>
                <c:pt idx="14">
                  <c:v>Кравченко Л. И.</c:v>
                </c:pt>
                <c:pt idx="15">
                  <c:v>Кузнецова Н.М. </c:v>
                </c:pt>
                <c:pt idx="16">
                  <c:v>Лавриненко В. Д.</c:v>
                </c:pt>
                <c:pt idx="17">
                  <c:v>Ланова Н.Ю.</c:v>
                </c:pt>
                <c:pt idx="18">
                  <c:v>Литвинова  А. И.</c:v>
                </c:pt>
                <c:pt idx="19">
                  <c:v>Логвиненко Н. А.</c:v>
                </c:pt>
                <c:pt idx="20">
                  <c:v>Маслова Е. В.</c:v>
                </c:pt>
                <c:pt idx="21">
                  <c:v>Мельникова Л. Н.</c:v>
                </c:pt>
                <c:pt idx="22">
                  <c:v>Нагорная Н. П.</c:v>
                </c:pt>
                <c:pt idx="23">
                  <c:v>Насонова И. В.</c:v>
                </c:pt>
                <c:pt idx="24">
                  <c:v>Никулина М.А.</c:v>
                </c:pt>
                <c:pt idx="25">
                  <c:v>Новикова А. Р.</c:v>
                </c:pt>
                <c:pt idx="26">
                  <c:v>Олейникова  И. Ю.</c:v>
                </c:pt>
                <c:pt idx="27">
                  <c:v>Павлющик О.И.</c:v>
                </c:pt>
                <c:pt idx="28">
                  <c:v>Палиева А. И.</c:v>
                </c:pt>
                <c:pt idx="29">
                  <c:v>Полунина В. В.</c:v>
                </c:pt>
                <c:pt idx="30">
                  <c:v>Полякова Е. В.</c:v>
                </c:pt>
                <c:pt idx="31">
                  <c:v>Попова Т. А.</c:v>
                </c:pt>
                <c:pt idx="32">
                  <c:v>Простова Н. А.</c:v>
                </c:pt>
                <c:pt idx="33">
                  <c:v>Руденко Н.Ю.</c:v>
                </c:pt>
                <c:pt idx="34">
                  <c:v>Румянцева И. В.</c:v>
                </c:pt>
                <c:pt idx="35">
                  <c:v>Самойленко Н. Ф.</c:v>
                </c:pt>
                <c:pt idx="36">
                  <c:v>Скокова Е. В.</c:v>
                </c:pt>
                <c:pt idx="37">
                  <c:v>Сорокина М. В.</c:v>
                </c:pt>
                <c:pt idx="38">
                  <c:v>Тулинов Н. И. </c:v>
                </c:pt>
                <c:pt idx="39">
                  <c:v>Филенко Н. Ю.</c:v>
                </c:pt>
                <c:pt idx="40">
                  <c:v>Филькина И. Н.</c:v>
                </c:pt>
                <c:pt idx="41">
                  <c:v>Юркова М. Ю.</c:v>
                </c:pt>
                <c:pt idx="42">
                  <c:v>Ящук Е. Ю.</c:v>
                </c:pt>
              </c:strCache>
            </c:strRef>
          </c:cat>
          <c:val>
            <c:numRef>
              <c:f>'Таблица Учитель'!$J$6:$J$36</c:f>
              <c:numCache>
                <c:formatCode>0.00</c:formatCode>
                <c:ptCount val="31"/>
                <c:pt idx="0">
                  <c:v>4.0062893081761004</c:v>
                </c:pt>
                <c:pt idx="1">
                  <c:v>3.7073170731707319</c:v>
                </c:pt>
                <c:pt idx="2">
                  <c:v>4.2962962962962967</c:v>
                </c:pt>
                <c:pt idx="3">
                  <c:v>4.26953125</c:v>
                </c:pt>
                <c:pt idx="4">
                  <c:v>4.5999999999999996</c:v>
                </c:pt>
                <c:pt idx="5">
                  <c:v>4.0419161676646711</c:v>
                </c:pt>
                <c:pt idx="6">
                  <c:v>4.08</c:v>
                </c:pt>
                <c:pt idx="7">
                  <c:v>3.6046511627906979</c:v>
                </c:pt>
                <c:pt idx="8">
                  <c:v>3.9322033898305087</c:v>
                </c:pt>
                <c:pt idx="9">
                  <c:v>4.2222222222222223</c:v>
                </c:pt>
                <c:pt idx="10">
                  <c:v>4.25</c:v>
                </c:pt>
                <c:pt idx="11">
                  <c:v>4.0151515151515156</c:v>
                </c:pt>
                <c:pt idx="12">
                  <c:v>4.2</c:v>
                </c:pt>
                <c:pt idx="13">
                  <c:v>3.8518518518518516</c:v>
                </c:pt>
                <c:pt idx="14">
                  <c:v>4.209677419354839</c:v>
                </c:pt>
                <c:pt idx="15">
                  <c:v>4</c:v>
                </c:pt>
                <c:pt idx="16">
                  <c:v>3.5537848605577689</c:v>
                </c:pt>
                <c:pt idx="17">
                  <c:v>4.3103448275862073</c:v>
                </c:pt>
                <c:pt idx="18">
                  <c:v>4.7931034482758621</c:v>
                </c:pt>
                <c:pt idx="19">
                  <c:v>4.1379310344827589</c:v>
                </c:pt>
                <c:pt idx="20">
                  <c:v>4.2682926829268295</c:v>
                </c:pt>
                <c:pt idx="21">
                  <c:v>3.75</c:v>
                </c:pt>
                <c:pt idx="22">
                  <c:v>3.641025641025641</c:v>
                </c:pt>
                <c:pt idx="23">
                  <c:v>3.4805194805194803</c:v>
                </c:pt>
                <c:pt idx="24">
                  <c:v>3.7983539094650207</c:v>
                </c:pt>
                <c:pt idx="25">
                  <c:v>4.3829787234042552</c:v>
                </c:pt>
                <c:pt idx="26">
                  <c:v>3.4268292682926829</c:v>
                </c:pt>
                <c:pt idx="27">
                  <c:v>4.3140495867768598</c:v>
                </c:pt>
                <c:pt idx="28">
                  <c:v>3.9634146341463414</c:v>
                </c:pt>
                <c:pt idx="29">
                  <c:v>3.8775510204081631</c:v>
                </c:pt>
                <c:pt idx="30">
                  <c:v>3.9325842696629212</c:v>
                </c:pt>
              </c:numCache>
            </c:numRef>
          </c:val>
        </c:ser>
        <c:gapWidth val="0"/>
        <c:overlap val="80"/>
        <c:axId val="63462784"/>
        <c:axId val="63464576"/>
      </c:barChart>
      <c:catAx>
        <c:axId val="63462784"/>
        <c:scaling>
          <c:orientation val="maxMin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63464576"/>
        <c:crosses val="autoZero"/>
        <c:auto val="1"/>
        <c:lblAlgn val="ctr"/>
        <c:lblOffset val="500"/>
        <c:tickMarkSkip val="1"/>
      </c:catAx>
      <c:valAx>
        <c:axId val="63464576"/>
        <c:scaling>
          <c:orientation val="minMax"/>
        </c:scaling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634627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 pitchFamily="18" charset="0"/>
          <a:ea typeface="Arial Cyr"/>
          <a:cs typeface="Times New Roman" pitchFamily="18" charset="0"/>
        </a:defRPr>
      </a:pPr>
      <a:endParaRPr lang="ru-RU"/>
    </a:p>
  </c:txPr>
  <c:printSettings>
    <c:headerFooter alignWithMargins="0"/>
    <c:pageMargins b="0.21000000000000021" l="0.75000000000000644" r="0.16" t="0.2" header="0.17" footer="0.17"/>
    <c:pageSetup paperSize="9" orientation="portrait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4.2276489895340934E-2"/>
          <c:y val="1.5989769046212113E-3"/>
          <c:w val="0.95122102264518427"/>
          <c:h val="0.99712199772177024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Список!$J$6:$J$85</c:f>
              <c:strCache>
                <c:ptCount val="43"/>
                <c:pt idx="0">
                  <c:v>Адамян С.Ю.</c:v>
                </c:pt>
                <c:pt idx="1">
                  <c:v>Алферова Н. М.</c:v>
                </c:pt>
                <c:pt idx="2">
                  <c:v>Белякова Ю. В.</c:v>
                </c:pt>
                <c:pt idx="3">
                  <c:v>Борисова М. А.</c:v>
                </c:pt>
                <c:pt idx="4">
                  <c:v>Ващенко Л. Ю.</c:v>
                </c:pt>
                <c:pt idx="5">
                  <c:v>Гладкая И В</c:v>
                </c:pt>
                <c:pt idx="6">
                  <c:v>Даниленко И. Н.</c:v>
                </c:pt>
                <c:pt idx="7">
                  <c:v>Зайцева Н. А.</c:v>
                </c:pt>
                <c:pt idx="8">
                  <c:v>Закарлюка А. Г.</c:v>
                </c:pt>
                <c:pt idx="9">
                  <c:v>Каменская Н. В.</c:v>
                </c:pt>
                <c:pt idx="10">
                  <c:v>Касьянова Н. А.</c:v>
                </c:pt>
                <c:pt idx="11">
                  <c:v>Клочко А. М.</c:v>
                </c:pt>
                <c:pt idx="12">
                  <c:v>Кожанова О. В.</c:v>
                </c:pt>
                <c:pt idx="13">
                  <c:v>Колядина Г. Н.</c:v>
                </c:pt>
                <c:pt idx="14">
                  <c:v>Кравченко Л. И.</c:v>
                </c:pt>
                <c:pt idx="15">
                  <c:v>Кузнецова Н.М. </c:v>
                </c:pt>
                <c:pt idx="16">
                  <c:v>Лавриненко В. Д.</c:v>
                </c:pt>
                <c:pt idx="17">
                  <c:v>Ланова Н.Ю.</c:v>
                </c:pt>
                <c:pt idx="18">
                  <c:v>Литвинова  А. И.</c:v>
                </c:pt>
                <c:pt idx="19">
                  <c:v>Логвиненко Н. А.</c:v>
                </c:pt>
                <c:pt idx="20">
                  <c:v>Маслова Е. В.</c:v>
                </c:pt>
                <c:pt idx="21">
                  <c:v>Мельникова Л. Н.</c:v>
                </c:pt>
                <c:pt idx="22">
                  <c:v>Нагорная Н. П.</c:v>
                </c:pt>
                <c:pt idx="23">
                  <c:v>Насонова И. В.</c:v>
                </c:pt>
                <c:pt idx="24">
                  <c:v>Никулина М.А.</c:v>
                </c:pt>
                <c:pt idx="25">
                  <c:v>Новикова А. Р.</c:v>
                </c:pt>
                <c:pt idx="26">
                  <c:v>Олейникова  И. Ю.</c:v>
                </c:pt>
                <c:pt idx="27">
                  <c:v>Павлющик О.И.</c:v>
                </c:pt>
                <c:pt idx="28">
                  <c:v>Палиева А. И.</c:v>
                </c:pt>
                <c:pt idx="29">
                  <c:v>Полунина В. В.</c:v>
                </c:pt>
                <c:pt idx="30">
                  <c:v>Полякова Е. В.</c:v>
                </c:pt>
                <c:pt idx="31">
                  <c:v>Попова Т. А.</c:v>
                </c:pt>
                <c:pt idx="32">
                  <c:v>Простова Н. А.</c:v>
                </c:pt>
                <c:pt idx="33">
                  <c:v>Руденко Н.Ю.</c:v>
                </c:pt>
                <c:pt idx="34">
                  <c:v>Румянцева И. В.</c:v>
                </c:pt>
                <c:pt idx="35">
                  <c:v>Самойленко Н. Ф.</c:v>
                </c:pt>
                <c:pt idx="36">
                  <c:v>Скокова Е. В.</c:v>
                </c:pt>
                <c:pt idx="37">
                  <c:v>Сорокина М. В.</c:v>
                </c:pt>
                <c:pt idx="38">
                  <c:v>Тулинов Н. И. </c:v>
                </c:pt>
                <c:pt idx="39">
                  <c:v>Филенко Н. Ю.</c:v>
                </c:pt>
                <c:pt idx="40">
                  <c:v>Филькина И. Н.</c:v>
                </c:pt>
                <c:pt idx="41">
                  <c:v>Юркова М. Ю.</c:v>
                </c:pt>
                <c:pt idx="42">
                  <c:v>Ящук Е. Ю.</c:v>
                </c:pt>
              </c:strCache>
            </c:strRef>
          </c:cat>
          <c:val>
            <c:numRef>
              <c:f>'Таблица Учитель'!$B$6:$B$36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</c:ser>
        <c:ser>
          <c:idx val="1"/>
          <c:order val="1"/>
          <c:spPr>
            <a:gradFill rotWithShape="0">
              <a:gsLst>
                <a:gs pos="0">
                  <a:srgbClr val="FF00FF">
                    <a:gamma/>
                    <a:shade val="46275"/>
                    <a:invGamma/>
                  </a:srgbClr>
                </a:gs>
                <a:gs pos="50000">
                  <a:srgbClr val="FF00FF"/>
                </a:gs>
                <a:gs pos="100000">
                  <a:srgbClr val="FF00FF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showVal val="1"/>
          </c:dLbls>
          <c:cat>
            <c:strRef>
              <c:f>Список!$J$6:$J$85</c:f>
              <c:strCache>
                <c:ptCount val="43"/>
                <c:pt idx="0">
                  <c:v>Адамян С.Ю.</c:v>
                </c:pt>
                <c:pt idx="1">
                  <c:v>Алферова Н. М.</c:v>
                </c:pt>
                <c:pt idx="2">
                  <c:v>Белякова Ю. В.</c:v>
                </c:pt>
                <c:pt idx="3">
                  <c:v>Борисова М. А.</c:v>
                </c:pt>
                <c:pt idx="4">
                  <c:v>Ващенко Л. Ю.</c:v>
                </c:pt>
                <c:pt idx="5">
                  <c:v>Гладкая И В</c:v>
                </c:pt>
                <c:pt idx="6">
                  <c:v>Даниленко И. Н.</c:v>
                </c:pt>
                <c:pt idx="7">
                  <c:v>Зайцева Н. А.</c:v>
                </c:pt>
                <c:pt idx="8">
                  <c:v>Закарлюка А. Г.</c:v>
                </c:pt>
                <c:pt idx="9">
                  <c:v>Каменская Н. В.</c:v>
                </c:pt>
                <c:pt idx="10">
                  <c:v>Касьянова Н. А.</c:v>
                </c:pt>
                <c:pt idx="11">
                  <c:v>Клочко А. М.</c:v>
                </c:pt>
                <c:pt idx="12">
                  <c:v>Кожанова О. В.</c:v>
                </c:pt>
                <c:pt idx="13">
                  <c:v>Колядина Г. Н.</c:v>
                </c:pt>
                <c:pt idx="14">
                  <c:v>Кравченко Л. И.</c:v>
                </c:pt>
                <c:pt idx="15">
                  <c:v>Кузнецова Н.М. </c:v>
                </c:pt>
                <c:pt idx="16">
                  <c:v>Лавриненко В. Д.</c:v>
                </c:pt>
                <c:pt idx="17">
                  <c:v>Ланова Н.Ю.</c:v>
                </c:pt>
                <c:pt idx="18">
                  <c:v>Литвинова  А. И.</c:v>
                </c:pt>
                <c:pt idx="19">
                  <c:v>Логвиненко Н. А.</c:v>
                </c:pt>
                <c:pt idx="20">
                  <c:v>Маслова Е. В.</c:v>
                </c:pt>
                <c:pt idx="21">
                  <c:v>Мельникова Л. Н.</c:v>
                </c:pt>
                <c:pt idx="22">
                  <c:v>Нагорная Н. П.</c:v>
                </c:pt>
                <c:pt idx="23">
                  <c:v>Насонова И. В.</c:v>
                </c:pt>
                <c:pt idx="24">
                  <c:v>Никулина М.А.</c:v>
                </c:pt>
                <c:pt idx="25">
                  <c:v>Новикова А. Р.</c:v>
                </c:pt>
                <c:pt idx="26">
                  <c:v>Олейникова  И. Ю.</c:v>
                </c:pt>
                <c:pt idx="27">
                  <c:v>Павлющик О.И.</c:v>
                </c:pt>
                <c:pt idx="28">
                  <c:v>Палиева А. И.</c:v>
                </c:pt>
                <c:pt idx="29">
                  <c:v>Полунина В. В.</c:v>
                </c:pt>
                <c:pt idx="30">
                  <c:v>Полякова Е. В.</c:v>
                </c:pt>
                <c:pt idx="31">
                  <c:v>Попова Т. А.</c:v>
                </c:pt>
                <c:pt idx="32">
                  <c:v>Простова Н. А.</c:v>
                </c:pt>
                <c:pt idx="33">
                  <c:v>Руденко Н.Ю.</c:v>
                </c:pt>
                <c:pt idx="34">
                  <c:v>Румянцева И. В.</c:v>
                </c:pt>
                <c:pt idx="35">
                  <c:v>Самойленко Н. Ф.</c:v>
                </c:pt>
                <c:pt idx="36">
                  <c:v>Скокова Е. В.</c:v>
                </c:pt>
                <c:pt idx="37">
                  <c:v>Сорокина М. В.</c:v>
                </c:pt>
                <c:pt idx="38">
                  <c:v>Тулинов Н. И. </c:v>
                </c:pt>
                <c:pt idx="39">
                  <c:v>Филенко Н. Ю.</c:v>
                </c:pt>
                <c:pt idx="40">
                  <c:v>Филькина И. Н.</c:v>
                </c:pt>
                <c:pt idx="41">
                  <c:v>Юркова М. Ю.</c:v>
                </c:pt>
                <c:pt idx="42">
                  <c:v>Ящук Е. Ю.</c:v>
                </c:pt>
              </c:strCache>
            </c:strRef>
          </c:cat>
          <c:val>
            <c:numRef>
              <c:f>'Таблица Учитель'!$K$6:$K$36</c:f>
              <c:numCache>
                <c:formatCode>0.0%</c:formatCode>
                <c:ptCount val="31"/>
                <c:pt idx="0">
                  <c:v>1</c:v>
                </c:pt>
                <c:pt idx="1">
                  <c:v>0.97560975609756095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0.97674418604651159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0.98076923076923073</c:v>
                </c:pt>
                <c:pt idx="22">
                  <c:v>0.98717948717948723</c:v>
                </c:pt>
                <c:pt idx="23">
                  <c:v>1</c:v>
                </c:pt>
                <c:pt idx="24">
                  <c:v>0.99176954732510292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0.99489795918367352</c:v>
                </c:pt>
                <c:pt idx="30">
                  <c:v>0.9887640449438202</c:v>
                </c:pt>
              </c:numCache>
            </c:numRef>
          </c:val>
        </c:ser>
        <c:gapWidth val="0"/>
        <c:overlap val="80"/>
        <c:axId val="63030784"/>
        <c:axId val="63032320"/>
      </c:barChart>
      <c:catAx>
        <c:axId val="63030784"/>
        <c:scaling>
          <c:orientation val="maxMin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63032320"/>
        <c:crosses val="autoZero"/>
        <c:auto val="1"/>
        <c:lblAlgn val="ctr"/>
        <c:lblOffset val="500"/>
        <c:tickMarkSkip val="1"/>
      </c:catAx>
      <c:valAx>
        <c:axId val="63032320"/>
        <c:scaling>
          <c:orientation val="minMax"/>
        </c:scaling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630307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 pitchFamily="18" charset="0"/>
          <a:ea typeface="Arial Cyr"/>
          <a:cs typeface="Times New Roman" pitchFamily="18" charset="0"/>
        </a:defRPr>
      </a:pPr>
      <a:endParaRPr lang="ru-RU"/>
    </a:p>
  </c:txPr>
  <c:printSettings>
    <c:headerFooter alignWithMargins="0"/>
    <c:pageMargins b="0.21000000000000021" l="0.75000000000000622" r="0.16" t="0.2" header="0.17" footer="0.17"/>
    <c:pageSetup paperSize="9" orientation="portrait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4.2276489895340934E-2"/>
          <c:y val="1.5989769046212113E-3"/>
          <c:w val="0.95122102264518427"/>
          <c:h val="0.99712199772177024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Список!$J$6:$J$85</c:f>
              <c:strCache>
                <c:ptCount val="43"/>
                <c:pt idx="0">
                  <c:v>Адамян С.Ю.</c:v>
                </c:pt>
                <c:pt idx="1">
                  <c:v>Алферова Н. М.</c:v>
                </c:pt>
                <c:pt idx="2">
                  <c:v>Белякова Ю. В.</c:v>
                </c:pt>
                <c:pt idx="3">
                  <c:v>Борисова М. А.</c:v>
                </c:pt>
                <c:pt idx="4">
                  <c:v>Ващенко Л. Ю.</c:v>
                </c:pt>
                <c:pt idx="5">
                  <c:v>Гладкая И В</c:v>
                </c:pt>
                <c:pt idx="6">
                  <c:v>Даниленко И. Н.</c:v>
                </c:pt>
                <c:pt idx="7">
                  <c:v>Зайцева Н. А.</c:v>
                </c:pt>
                <c:pt idx="8">
                  <c:v>Закарлюка А. Г.</c:v>
                </c:pt>
                <c:pt idx="9">
                  <c:v>Каменская Н. В.</c:v>
                </c:pt>
                <c:pt idx="10">
                  <c:v>Касьянова Н. А.</c:v>
                </c:pt>
                <c:pt idx="11">
                  <c:v>Клочко А. М.</c:v>
                </c:pt>
                <c:pt idx="12">
                  <c:v>Кожанова О. В.</c:v>
                </c:pt>
                <c:pt idx="13">
                  <c:v>Колядина Г. Н.</c:v>
                </c:pt>
                <c:pt idx="14">
                  <c:v>Кравченко Л. И.</c:v>
                </c:pt>
                <c:pt idx="15">
                  <c:v>Кузнецова Н.М. </c:v>
                </c:pt>
                <c:pt idx="16">
                  <c:v>Лавриненко В. Д.</c:v>
                </c:pt>
                <c:pt idx="17">
                  <c:v>Ланова Н.Ю.</c:v>
                </c:pt>
                <c:pt idx="18">
                  <c:v>Литвинова  А. И.</c:v>
                </c:pt>
                <c:pt idx="19">
                  <c:v>Логвиненко Н. А.</c:v>
                </c:pt>
                <c:pt idx="20">
                  <c:v>Маслова Е. В.</c:v>
                </c:pt>
                <c:pt idx="21">
                  <c:v>Мельникова Л. Н.</c:v>
                </c:pt>
                <c:pt idx="22">
                  <c:v>Нагорная Н. П.</c:v>
                </c:pt>
                <c:pt idx="23">
                  <c:v>Насонова И. В.</c:v>
                </c:pt>
                <c:pt idx="24">
                  <c:v>Никулина М.А.</c:v>
                </c:pt>
                <c:pt idx="25">
                  <c:v>Новикова А. Р.</c:v>
                </c:pt>
                <c:pt idx="26">
                  <c:v>Олейникова  И. Ю.</c:v>
                </c:pt>
                <c:pt idx="27">
                  <c:v>Павлющик О.И.</c:v>
                </c:pt>
                <c:pt idx="28">
                  <c:v>Палиева А. И.</c:v>
                </c:pt>
                <c:pt idx="29">
                  <c:v>Полунина В. В.</c:v>
                </c:pt>
                <c:pt idx="30">
                  <c:v>Полякова Е. В.</c:v>
                </c:pt>
                <c:pt idx="31">
                  <c:v>Попова Т. А.</c:v>
                </c:pt>
                <c:pt idx="32">
                  <c:v>Простова Н. А.</c:v>
                </c:pt>
                <c:pt idx="33">
                  <c:v>Руденко Н.Ю.</c:v>
                </c:pt>
                <c:pt idx="34">
                  <c:v>Румянцева И. В.</c:v>
                </c:pt>
                <c:pt idx="35">
                  <c:v>Самойленко Н. Ф.</c:v>
                </c:pt>
                <c:pt idx="36">
                  <c:v>Скокова Е. В.</c:v>
                </c:pt>
                <c:pt idx="37">
                  <c:v>Сорокина М. В.</c:v>
                </c:pt>
                <c:pt idx="38">
                  <c:v>Тулинов Н. И. </c:v>
                </c:pt>
                <c:pt idx="39">
                  <c:v>Филенко Н. Ю.</c:v>
                </c:pt>
                <c:pt idx="40">
                  <c:v>Филькина И. Н.</c:v>
                </c:pt>
                <c:pt idx="41">
                  <c:v>Юркова М. Ю.</c:v>
                </c:pt>
                <c:pt idx="42">
                  <c:v>Ящук Е. Ю.</c:v>
                </c:pt>
              </c:strCache>
            </c:strRef>
          </c:cat>
          <c:val>
            <c:numRef>
              <c:f>'Таблица Учитель'!$B$6:$B$36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</c:ser>
        <c:ser>
          <c:idx val="1"/>
          <c:order val="1"/>
          <c:spPr>
            <a:gradFill rotWithShape="0">
              <a:gsLst>
                <a:gs pos="0">
                  <a:srgbClr val="FF00FF">
                    <a:gamma/>
                    <a:shade val="46275"/>
                    <a:invGamma/>
                  </a:srgbClr>
                </a:gs>
                <a:gs pos="50000">
                  <a:srgbClr val="FF00FF"/>
                </a:gs>
                <a:gs pos="100000">
                  <a:srgbClr val="FF00FF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25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RU"/>
              </a:p>
            </c:txPr>
            <c:showVal val="1"/>
          </c:dLbls>
          <c:cat>
            <c:strRef>
              <c:f>Список!$J$6:$J$85</c:f>
              <c:strCache>
                <c:ptCount val="43"/>
                <c:pt idx="0">
                  <c:v>Адамян С.Ю.</c:v>
                </c:pt>
                <c:pt idx="1">
                  <c:v>Алферова Н. М.</c:v>
                </c:pt>
                <c:pt idx="2">
                  <c:v>Белякова Ю. В.</c:v>
                </c:pt>
                <c:pt idx="3">
                  <c:v>Борисова М. А.</c:v>
                </c:pt>
                <c:pt idx="4">
                  <c:v>Ващенко Л. Ю.</c:v>
                </c:pt>
                <c:pt idx="5">
                  <c:v>Гладкая И В</c:v>
                </c:pt>
                <c:pt idx="6">
                  <c:v>Даниленко И. Н.</c:v>
                </c:pt>
                <c:pt idx="7">
                  <c:v>Зайцева Н. А.</c:v>
                </c:pt>
                <c:pt idx="8">
                  <c:v>Закарлюка А. Г.</c:v>
                </c:pt>
                <c:pt idx="9">
                  <c:v>Каменская Н. В.</c:v>
                </c:pt>
                <c:pt idx="10">
                  <c:v>Касьянова Н. А.</c:v>
                </c:pt>
                <c:pt idx="11">
                  <c:v>Клочко А. М.</c:v>
                </c:pt>
                <c:pt idx="12">
                  <c:v>Кожанова О. В.</c:v>
                </c:pt>
                <c:pt idx="13">
                  <c:v>Колядина Г. Н.</c:v>
                </c:pt>
                <c:pt idx="14">
                  <c:v>Кравченко Л. И.</c:v>
                </c:pt>
                <c:pt idx="15">
                  <c:v>Кузнецова Н.М. </c:v>
                </c:pt>
                <c:pt idx="16">
                  <c:v>Лавриненко В. Д.</c:v>
                </c:pt>
                <c:pt idx="17">
                  <c:v>Ланова Н.Ю.</c:v>
                </c:pt>
                <c:pt idx="18">
                  <c:v>Литвинова  А. И.</c:v>
                </c:pt>
                <c:pt idx="19">
                  <c:v>Логвиненко Н. А.</c:v>
                </c:pt>
                <c:pt idx="20">
                  <c:v>Маслова Е. В.</c:v>
                </c:pt>
                <c:pt idx="21">
                  <c:v>Мельникова Л. Н.</c:v>
                </c:pt>
                <c:pt idx="22">
                  <c:v>Нагорная Н. П.</c:v>
                </c:pt>
                <c:pt idx="23">
                  <c:v>Насонова И. В.</c:v>
                </c:pt>
                <c:pt idx="24">
                  <c:v>Никулина М.А.</c:v>
                </c:pt>
                <c:pt idx="25">
                  <c:v>Новикова А. Р.</c:v>
                </c:pt>
                <c:pt idx="26">
                  <c:v>Олейникова  И. Ю.</c:v>
                </c:pt>
                <c:pt idx="27">
                  <c:v>Павлющик О.И.</c:v>
                </c:pt>
                <c:pt idx="28">
                  <c:v>Палиева А. И.</c:v>
                </c:pt>
                <c:pt idx="29">
                  <c:v>Полунина В. В.</c:v>
                </c:pt>
                <c:pt idx="30">
                  <c:v>Полякова Е. В.</c:v>
                </c:pt>
                <c:pt idx="31">
                  <c:v>Попова Т. А.</c:v>
                </c:pt>
                <c:pt idx="32">
                  <c:v>Простова Н. А.</c:v>
                </c:pt>
                <c:pt idx="33">
                  <c:v>Руденко Н.Ю.</c:v>
                </c:pt>
                <c:pt idx="34">
                  <c:v>Румянцева И. В.</c:v>
                </c:pt>
                <c:pt idx="35">
                  <c:v>Самойленко Н. Ф.</c:v>
                </c:pt>
                <c:pt idx="36">
                  <c:v>Скокова Е. В.</c:v>
                </c:pt>
                <c:pt idx="37">
                  <c:v>Сорокина М. В.</c:v>
                </c:pt>
                <c:pt idx="38">
                  <c:v>Тулинов Н. И. </c:v>
                </c:pt>
                <c:pt idx="39">
                  <c:v>Филенко Н. Ю.</c:v>
                </c:pt>
                <c:pt idx="40">
                  <c:v>Филькина И. Н.</c:v>
                </c:pt>
                <c:pt idx="41">
                  <c:v>Юркова М. Ю.</c:v>
                </c:pt>
                <c:pt idx="42">
                  <c:v>Ящук Е. Ю.</c:v>
                </c:pt>
              </c:strCache>
            </c:strRef>
          </c:cat>
          <c:val>
            <c:numRef>
              <c:f>'Таблица Учитель'!$L$6:$L$36</c:f>
              <c:numCache>
                <c:formatCode>0.0%</c:formatCode>
                <c:ptCount val="31"/>
                <c:pt idx="0">
                  <c:v>0.76729559748427678</c:v>
                </c:pt>
                <c:pt idx="1">
                  <c:v>0.63414634146341464</c:v>
                </c:pt>
                <c:pt idx="2">
                  <c:v>0.88888888888888884</c:v>
                </c:pt>
                <c:pt idx="3">
                  <c:v>0.86328125</c:v>
                </c:pt>
                <c:pt idx="4">
                  <c:v>0.95789473684210524</c:v>
                </c:pt>
                <c:pt idx="5">
                  <c:v>0.79640718562874246</c:v>
                </c:pt>
                <c:pt idx="6">
                  <c:v>0.84</c:v>
                </c:pt>
                <c:pt idx="7">
                  <c:v>0.48837209302325579</c:v>
                </c:pt>
                <c:pt idx="8">
                  <c:v>0.71186440677966101</c:v>
                </c:pt>
                <c:pt idx="9">
                  <c:v>0.81481481481481477</c:v>
                </c:pt>
                <c:pt idx="10">
                  <c:v>0.9</c:v>
                </c:pt>
                <c:pt idx="11">
                  <c:v>0.77272727272727271</c:v>
                </c:pt>
                <c:pt idx="12">
                  <c:v>0.8666666666666667</c:v>
                </c:pt>
                <c:pt idx="13">
                  <c:v>0.77777777777777779</c:v>
                </c:pt>
                <c:pt idx="14">
                  <c:v>0.88709677419354838</c:v>
                </c:pt>
                <c:pt idx="15">
                  <c:v>0.83870967741935487</c:v>
                </c:pt>
                <c:pt idx="16">
                  <c:v>0.42629482071713148</c:v>
                </c:pt>
                <c:pt idx="17">
                  <c:v>0.89655172413793105</c:v>
                </c:pt>
                <c:pt idx="18">
                  <c:v>1</c:v>
                </c:pt>
                <c:pt idx="19">
                  <c:v>0.82758620689655171</c:v>
                </c:pt>
                <c:pt idx="20">
                  <c:v>0.82926829268292679</c:v>
                </c:pt>
                <c:pt idx="21">
                  <c:v>0.61538461538461542</c:v>
                </c:pt>
                <c:pt idx="22">
                  <c:v>0.5</c:v>
                </c:pt>
                <c:pt idx="23">
                  <c:v>0.40259740259740262</c:v>
                </c:pt>
                <c:pt idx="24">
                  <c:v>0.63786008230452673</c:v>
                </c:pt>
                <c:pt idx="25">
                  <c:v>0.87943262411347523</c:v>
                </c:pt>
                <c:pt idx="26">
                  <c:v>0.40243902439024393</c:v>
                </c:pt>
                <c:pt idx="27">
                  <c:v>0.85123966942148765</c:v>
                </c:pt>
                <c:pt idx="28">
                  <c:v>0.69512195121951215</c:v>
                </c:pt>
                <c:pt idx="29">
                  <c:v>0.61734693877551017</c:v>
                </c:pt>
                <c:pt idx="30">
                  <c:v>0.651685393258427</c:v>
                </c:pt>
              </c:numCache>
            </c:numRef>
          </c:val>
        </c:ser>
        <c:gapWidth val="0"/>
        <c:overlap val="80"/>
        <c:axId val="63987072"/>
        <c:axId val="64033920"/>
      </c:barChart>
      <c:catAx>
        <c:axId val="63987072"/>
        <c:scaling>
          <c:orientation val="maxMin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YR"/>
                <a:cs typeface="Times New Roman" pitchFamily="18" charset="0"/>
              </a:defRPr>
            </a:pPr>
            <a:endParaRPr lang="ru-RU"/>
          </a:p>
        </c:txPr>
        <c:crossAx val="64033920"/>
        <c:crosses val="autoZero"/>
        <c:auto val="1"/>
        <c:lblAlgn val="ctr"/>
        <c:lblOffset val="500"/>
        <c:tickMarkSkip val="1"/>
      </c:catAx>
      <c:valAx>
        <c:axId val="64033920"/>
        <c:scaling>
          <c:orientation val="minMax"/>
        </c:scaling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63987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22" r="0.75000000000000622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4.2276489895340934E-2"/>
          <c:y val="1.5989769046212126E-3"/>
          <c:w val="0.95122102264518482"/>
          <c:h val="0.99712199772177024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Список!$J$6:$J$85</c:f>
              <c:strCache>
                <c:ptCount val="43"/>
                <c:pt idx="0">
                  <c:v>Адамян С.Ю.</c:v>
                </c:pt>
                <c:pt idx="1">
                  <c:v>Алферова Н. М.</c:v>
                </c:pt>
                <c:pt idx="2">
                  <c:v>Белякова Ю. В.</c:v>
                </c:pt>
                <c:pt idx="3">
                  <c:v>Борисова М. А.</c:v>
                </c:pt>
                <c:pt idx="4">
                  <c:v>Ващенко Л. Ю.</c:v>
                </c:pt>
                <c:pt idx="5">
                  <c:v>Гладкая И В</c:v>
                </c:pt>
                <c:pt idx="6">
                  <c:v>Даниленко И. Н.</c:v>
                </c:pt>
                <c:pt idx="7">
                  <c:v>Зайцева Н. А.</c:v>
                </c:pt>
                <c:pt idx="8">
                  <c:v>Закарлюка А. Г.</c:v>
                </c:pt>
                <c:pt idx="9">
                  <c:v>Каменская Н. В.</c:v>
                </c:pt>
                <c:pt idx="10">
                  <c:v>Касьянова Н. А.</c:v>
                </c:pt>
                <c:pt idx="11">
                  <c:v>Клочко А. М.</c:v>
                </c:pt>
                <c:pt idx="12">
                  <c:v>Кожанова О. В.</c:v>
                </c:pt>
                <c:pt idx="13">
                  <c:v>Колядина Г. Н.</c:v>
                </c:pt>
                <c:pt idx="14">
                  <c:v>Кравченко Л. И.</c:v>
                </c:pt>
                <c:pt idx="15">
                  <c:v>Кузнецова Н.М. </c:v>
                </c:pt>
                <c:pt idx="16">
                  <c:v>Лавриненко В. Д.</c:v>
                </c:pt>
                <c:pt idx="17">
                  <c:v>Ланова Н.Ю.</c:v>
                </c:pt>
                <c:pt idx="18">
                  <c:v>Литвинова  А. И.</c:v>
                </c:pt>
                <c:pt idx="19">
                  <c:v>Логвиненко Н. А.</c:v>
                </c:pt>
                <c:pt idx="20">
                  <c:v>Маслова Е. В.</c:v>
                </c:pt>
                <c:pt idx="21">
                  <c:v>Мельникова Л. Н.</c:v>
                </c:pt>
                <c:pt idx="22">
                  <c:v>Нагорная Н. П.</c:v>
                </c:pt>
                <c:pt idx="23">
                  <c:v>Насонова И. В.</c:v>
                </c:pt>
                <c:pt idx="24">
                  <c:v>Никулина М.А.</c:v>
                </c:pt>
                <c:pt idx="25">
                  <c:v>Новикова А. Р.</c:v>
                </c:pt>
                <c:pt idx="26">
                  <c:v>Олейникова  И. Ю.</c:v>
                </c:pt>
                <c:pt idx="27">
                  <c:v>Павлющик О.И.</c:v>
                </c:pt>
                <c:pt idx="28">
                  <c:v>Палиева А. И.</c:v>
                </c:pt>
                <c:pt idx="29">
                  <c:v>Полунина В. В.</c:v>
                </c:pt>
                <c:pt idx="30">
                  <c:v>Полякова Е. В.</c:v>
                </c:pt>
                <c:pt idx="31">
                  <c:v>Попова Т. А.</c:v>
                </c:pt>
                <c:pt idx="32">
                  <c:v>Простова Н. А.</c:v>
                </c:pt>
                <c:pt idx="33">
                  <c:v>Руденко Н.Ю.</c:v>
                </c:pt>
                <c:pt idx="34">
                  <c:v>Румянцева И. В.</c:v>
                </c:pt>
                <c:pt idx="35">
                  <c:v>Самойленко Н. Ф.</c:v>
                </c:pt>
                <c:pt idx="36">
                  <c:v>Скокова Е. В.</c:v>
                </c:pt>
                <c:pt idx="37">
                  <c:v>Сорокина М. В.</c:v>
                </c:pt>
                <c:pt idx="38">
                  <c:v>Тулинов Н. И. </c:v>
                </c:pt>
                <c:pt idx="39">
                  <c:v>Филенко Н. Ю.</c:v>
                </c:pt>
                <c:pt idx="40">
                  <c:v>Филькина И. Н.</c:v>
                </c:pt>
                <c:pt idx="41">
                  <c:v>Юркова М. Ю.</c:v>
                </c:pt>
                <c:pt idx="42">
                  <c:v>Ящук Е. Ю.</c:v>
                </c:pt>
              </c:strCache>
            </c:strRef>
          </c:cat>
          <c:val>
            <c:numRef>
              <c:f>'Таблица Учитель'!$B$6:$B$36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</c:ser>
        <c:ser>
          <c:idx val="1"/>
          <c:order val="1"/>
          <c:spPr>
            <a:gradFill rotWithShape="0">
              <a:gsLst>
                <a:gs pos="0">
                  <a:srgbClr val="FF00FF">
                    <a:gamma/>
                    <a:shade val="46275"/>
                    <a:invGamma/>
                  </a:srgbClr>
                </a:gs>
                <a:gs pos="50000">
                  <a:srgbClr val="FF00FF"/>
                </a:gs>
                <a:gs pos="100000">
                  <a:srgbClr val="FF00FF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showVal val="1"/>
          </c:dLbls>
          <c:cat>
            <c:strRef>
              <c:f>Список!$J$6:$J$85</c:f>
              <c:strCache>
                <c:ptCount val="43"/>
                <c:pt idx="0">
                  <c:v>Адамян С.Ю.</c:v>
                </c:pt>
                <c:pt idx="1">
                  <c:v>Алферова Н. М.</c:v>
                </c:pt>
                <c:pt idx="2">
                  <c:v>Белякова Ю. В.</c:v>
                </c:pt>
                <c:pt idx="3">
                  <c:v>Борисова М. А.</c:v>
                </c:pt>
                <c:pt idx="4">
                  <c:v>Ващенко Л. Ю.</c:v>
                </c:pt>
                <c:pt idx="5">
                  <c:v>Гладкая И В</c:v>
                </c:pt>
                <c:pt idx="6">
                  <c:v>Даниленко И. Н.</c:v>
                </c:pt>
                <c:pt idx="7">
                  <c:v>Зайцева Н. А.</c:v>
                </c:pt>
                <c:pt idx="8">
                  <c:v>Закарлюка А. Г.</c:v>
                </c:pt>
                <c:pt idx="9">
                  <c:v>Каменская Н. В.</c:v>
                </c:pt>
                <c:pt idx="10">
                  <c:v>Касьянова Н. А.</c:v>
                </c:pt>
                <c:pt idx="11">
                  <c:v>Клочко А. М.</c:v>
                </c:pt>
                <c:pt idx="12">
                  <c:v>Кожанова О. В.</c:v>
                </c:pt>
                <c:pt idx="13">
                  <c:v>Колядина Г. Н.</c:v>
                </c:pt>
                <c:pt idx="14">
                  <c:v>Кравченко Л. И.</c:v>
                </c:pt>
                <c:pt idx="15">
                  <c:v>Кузнецова Н.М. </c:v>
                </c:pt>
                <c:pt idx="16">
                  <c:v>Лавриненко В. Д.</c:v>
                </c:pt>
                <c:pt idx="17">
                  <c:v>Ланова Н.Ю.</c:v>
                </c:pt>
                <c:pt idx="18">
                  <c:v>Литвинова  А. И.</c:v>
                </c:pt>
                <c:pt idx="19">
                  <c:v>Логвиненко Н. А.</c:v>
                </c:pt>
                <c:pt idx="20">
                  <c:v>Маслова Е. В.</c:v>
                </c:pt>
                <c:pt idx="21">
                  <c:v>Мельникова Л. Н.</c:v>
                </c:pt>
                <c:pt idx="22">
                  <c:v>Нагорная Н. П.</c:v>
                </c:pt>
                <c:pt idx="23">
                  <c:v>Насонова И. В.</c:v>
                </c:pt>
                <c:pt idx="24">
                  <c:v>Никулина М.А.</c:v>
                </c:pt>
                <c:pt idx="25">
                  <c:v>Новикова А. Р.</c:v>
                </c:pt>
                <c:pt idx="26">
                  <c:v>Олейникова  И. Ю.</c:v>
                </c:pt>
                <c:pt idx="27">
                  <c:v>Павлющик О.И.</c:v>
                </c:pt>
                <c:pt idx="28">
                  <c:v>Палиева А. И.</c:v>
                </c:pt>
                <c:pt idx="29">
                  <c:v>Полунина В. В.</c:v>
                </c:pt>
                <c:pt idx="30">
                  <c:v>Полякова Е. В.</c:v>
                </c:pt>
                <c:pt idx="31">
                  <c:v>Попова Т. А.</c:v>
                </c:pt>
                <c:pt idx="32">
                  <c:v>Простова Н. А.</c:v>
                </c:pt>
                <c:pt idx="33">
                  <c:v>Руденко Н.Ю.</c:v>
                </c:pt>
                <c:pt idx="34">
                  <c:v>Румянцева И. В.</c:v>
                </c:pt>
                <c:pt idx="35">
                  <c:v>Самойленко Н. Ф.</c:v>
                </c:pt>
                <c:pt idx="36">
                  <c:v>Скокова Е. В.</c:v>
                </c:pt>
                <c:pt idx="37">
                  <c:v>Сорокина М. В.</c:v>
                </c:pt>
                <c:pt idx="38">
                  <c:v>Тулинов Н. И. </c:v>
                </c:pt>
                <c:pt idx="39">
                  <c:v>Филенко Н. Ю.</c:v>
                </c:pt>
                <c:pt idx="40">
                  <c:v>Филькина И. Н.</c:v>
                </c:pt>
                <c:pt idx="41">
                  <c:v>Юркова М. Ю.</c:v>
                </c:pt>
                <c:pt idx="42">
                  <c:v>Ящук Е. Ю.</c:v>
                </c:pt>
              </c:strCache>
            </c:strRef>
          </c:cat>
          <c:val>
            <c:numRef>
              <c:f>'Таблица Учитель'!$M$6:$M$36</c:f>
              <c:numCache>
                <c:formatCode>0.0%</c:formatCode>
                <c:ptCount val="31"/>
                <c:pt idx="0">
                  <c:v>0.66088050314465396</c:v>
                </c:pt>
                <c:pt idx="1">
                  <c:v>0.5814634146341463</c:v>
                </c:pt>
                <c:pt idx="2">
                  <c:v>0.75555555555555554</c:v>
                </c:pt>
                <c:pt idx="3">
                  <c:v>0.74796874999999996</c:v>
                </c:pt>
                <c:pt idx="4">
                  <c:v>0.85936842105263156</c:v>
                </c:pt>
                <c:pt idx="5">
                  <c:v>0.67137724550898192</c:v>
                </c:pt>
                <c:pt idx="6">
                  <c:v>0.68159999999999998</c:v>
                </c:pt>
                <c:pt idx="7">
                  <c:v>0.54232558139534881</c:v>
                </c:pt>
                <c:pt idx="8">
                  <c:v>0.6386440677966102</c:v>
                </c:pt>
                <c:pt idx="9">
                  <c:v>0.73481481481481481</c:v>
                </c:pt>
                <c:pt idx="10">
                  <c:v>0.73799999999999999</c:v>
                </c:pt>
                <c:pt idx="11">
                  <c:v>0.66363636363636369</c:v>
                </c:pt>
                <c:pt idx="12">
                  <c:v>0.72266666666666657</c:v>
                </c:pt>
                <c:pt idx="13">
                  <c:v>0.60444444444444445</c:v>
                </c:pt>
                <c:pt idx="14">
                  <c:v>0.72451612903225826</c:v>
                </c:pt>
                <c:pt idx="15">
                  <c:v>0.65290322580645155</c:v>
                </c:pt>
                <c:pt idx="16">
                  <c:v>0.52525896414342632</c:v>
                </c:pt>
                <c:pt idx="17">
                  <c:v>0.76</c:v>
                </c:pt>
                <c:pt idx="18">
                  <c:v>0.92551724137931035</c:v>
                </c:pt>
                <c:pt idx="19">
                  <c:v>0.70344827586206904</c:v>
                </c:pt>
                <c:pt idx="20">
                  <c:v>0.75024390243902439</c:v>
                </c:pt>
                <c:pt idx="21">
                  <c:v>0.58384615384615379</c:v>
                </c:pt>
                <c:pt idx="22">
                  <c:v>0.55282051282051281</c:v>
                </c:pt>
                <c:pt idx="23">
                  <c:v>0.50077922077922077</c:v>
                </c:pt>
                <c:pt idx="24">
                  <c:v>0.60000000000000009</c:v>
                </c:pt>
                <c:pt idx="25">
                  <c:v>0.7875177304964539</c:v>
                </c:pt>
                <c:pt idx="26">
                  <c:v>0.48146341463414638</c:v>
                </c:pt>
                <c:pt idx="27">
                  <c:v>0.76495867768595038</c:v>
                </c:pt>
                <c:pt idx="28">
                  <c:v>0.65121951219512197</c:v>
                </c:pt>
                <c:pt idx="29">
                  <c:v>0.63020408163265307</c:v>
                </c:pt>
                <c:pt idx="30">
                  <c:v>0.651685393258427</c:v>
                </c:pt>
              </c:numCache>
            </c:numRef>
          </c:val>
        </c:ser>
        <c:gapWidth val="0"/>
        <c:overlap val="80"/>
        <c:axId val="62465536"/>
        <c:axId val="62467072"/>
      </c:barChart>
      <c:catAx>
        <c:axId val="62465536"/>
        <c:scaling>
          <c:orientation val="maxMin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62467072"/>
        <c:crosses val="autoZero"/>
        <c:auto val="1"/>
        <c:lblAlgn val="ctr"/>
        <c:lblOffset val="500"/>
        <c:tickMarkSkip val="1"/>
      </c:catAx>
      <c:valAx>
        <c:axId val="62467072"/>
        <c:scaling>
          <c:orientation val="minMax"/>
        </c:scaling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62465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 pitchFamily="18" charset="0"/>
          <a:ea typeface="Arial Cyr"/>
          <a:cs typeface="Times New Roman" pitchFamily="18" charset="0"/>
        </a:defRPr>
      </a:pPr>
      <a:endParaRPr lang="ru-RU"/>
    </a:p>
  </c:txPr>
  <c:printSettings>
    <c:headerFooter alignWithMargins="0"/>
    <c:pageMargins b="0.21000000000000021" l="0.75000000000000644" r="0.16" t="0.2" header="0.17" footer="0.17"/>
    <c:pageSetup paperSize="9" orientation="portrait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4.2276489895340934E-2"/>
          <c:y val="1.5989769046212126E-3"/>
          <c:w val="0.95122102264518482"/>
          <c:h val="0.99712199772177024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Список!$J$6:$J$85</c:f>
              <c:strCache>
                <c:ptCount val="43"/>
                <c:pt idx="0">
                  <c:v>Адамян С.Ю.</c:v>
                </c:pt>
                <c:pt idx="1">
                  <c:v>Алферова Н. М.</c:v>
                </c:pt>
                <c:pt idx="2">
                  <c:v>Белякова Ю. В.</c:v>
                </c:pt>
                <c:pt idx="3">
                  <c:v>Борисова М. А.</c:v>
                </c:pt>
                <c:pt idx="4">
                  <c:v>Ващенко Л. Ю.</c:v>
                </c:pt>
                <c:pt idx="5">
                  <c:v>Гладкая И В</c:v>
                </c:pt>
                <c:pt idx="6">
                  <c:v>Даниленко И. Н.</c:v>
                </c:pt>
                <c:pt idx="7">
                  <c:v>Зайцева Н. А.</c:v>
                </c:pt>
                <c:pt idx="8">
                  <c:v>Закарлюка А. Г.</c:v>
                </c:pt>
                <c:pt idx="9">
                  <c:v>Каменская Н. В.</c:v>
                </c:pt>
                <c:pt idx="10">
                  <c:v>Касьянова Н. А.</c:v>
                </c:pt>
                <c:pt idx="11">
                  <c:v>Клочко А. М.</c:v>
                </c:pt>
                <c:pt idx="12">
                  <c:v>Кожанова О. В.</c:v>
                </c:pt>
                <c:pt idx="13">
                  <c:v>Колядина Г. Н.</c:v>
                </c:pt>
                <c:pt idx="14">
                  <c:v>Кравченко Л. И.</c:v>
                </c:pt>
                <c:pt idx="15">
                  <c:v>Кузнецова Н.М. </c:v>
                </c:pt>
                <c:pt idx="16">
                  <c:v>Лавриненко В. Д.</c:v>
                </c:pt>
                <c:pt idx="17">
                  <c:v>Ланова Н.Ю.</c:v>
                </c:pt>
                <c:pt idx="18">
                  <c:v>Литвинова  А. И.</c:v>
                </c:pt>
                <c:pt idx="19">
                  <c:v>Логвиненко Н. А.</c:v>
                </c:pt>
                <c:pt idx="20">
                  <c:v>Маслова Е. В.</c:v>
                </c:pt>
                <c:pt idx="21">
                  <c:v>Мельникова Л. Н.</c:v>
                </c:pt>
                <c:pt idx="22">
                  <c:v>Нагорная Н. П.</c:v>
                </c:pt>
                <c:pt idx="23">
                  <c:v>Насонова И. В.</c:v>
                </c:pt>
                <c:pt idx="24">
                  <c:v>Никулина М.А.</c:v>
                </c:pt>
                <c:pt idx="25">
                  <c:v>Новикова А. Р.</c:v>
                </c:pt>
                <c:pt idx="26">
                  <c:v>Олейникова  И. Ю.</c:v>
                </c:pt>
                <c:pt idx="27">
                  <c:v>Павлющик О.И.</c:v>
                </c:pt>
                <c:pt idx="28">
                  <c:v>Палиева А. И.</c:v>
                </c:pt>
                <c:pt idx="29">
                  <c:v>Полунина В. В.</c:v>
                </c:pt>
                <c:pt idx="30">
                  <c:v>Полякова Е. В.</c:v>
                </c:pt>
                <c:pt idx="31">
                  <c:v>Попова Т. А.</c:v>
                </c:pt>
                <c:pt idx="32">
                  <c:v>Простова Н. А.</c:v>
                </c:pt>
                <c:pt idx="33">
                  <c:v>Руденко Н.Ю.</c:v>
                </c:pt>
                <c:pt idx="34">
                  <c:v>Румянцева И. В.</c:v>
                </c:pt>
                <c:pt idx="35">
                  <c:v>Самойленко Н. Ф.</c:v>
                </c:pt>
                <c:pt idx="36">
                  <c:v>Скокова Е. В.</c:v>
                </c:pt>
                <c:pt idx="37">
                  <c:v>Сорокина М. В.</c:v>
                </c:pt>
                <c:pt idx="38">
                  <c:v>Тулинов Н. И. </c:v>
                </c:pt>
                <c:pt idx="39">
                  <c:v>Филенко Н. Ю.</c:v>
                </c:pt>
                <c:pt idx="40">
                  <c:v>Филькина И. Н.</c:v>
                </c:pt>
                <c:pt idx="41">
                  <c:v>Юркова М. Ю.</c:v>
                </c:pt>
                <c:pt idx="42">
                  <c:v>Ящук Е. Ю.</c:v>
                </c:pt>
              </c:strCache>
            </c:strRef>
          </c:cat>
          <c:val>
            <c:numRef>
              <c:f>'Таблица Учитель'!$B$6:$B$36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</c:ser>
        <c:ser>
          <c:idx val="1"/>
          <c:order val="1"/>
          <c:spPr>
            <a:gradFill rotWithShape="0">
              <a:gsLst>
                <a:gs pos="0">
                  <a:srgbClr val="FF00FF">
                    <a:gamma/>
                    <a:shade val="46275"/>
                    <a:invGamma/>
                  </a:srgbClr>
                </a:gs>
                <a:gs pos="50000">
                  <a:srgbClr val="FF00FF"/>
                </a:gs>
                <a:gs pos="100000">
                  <a:srgbClr val="FF00FF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showVal val="1"/>
          </c:dLbls>
          <c:cat>
            <c:strRef>
              <c:f>Список!$J$6:$J$85</c:f>
              <c:strCache>
                <c:ptCount val="43"/>
                <c:pt idx="0">
                  <c:v>Адамян С.Ю.</c:v>
                </c:pt>
                <c:pt idx="1">
                  <c:v>Алферова Н. М.</c:v>
                </c:pt>
                <c:pt idx="2">
                  <c:v>Белякова Ю. В.</c:v>
                </c:pt>
                <c:pt idx="3">
                  <c:v>Борисова М. А.</c:v>
                </c:pt>
                <c:pt idx="4">
                  <c:v>Ващенко Л. Ю.</c:v>
                </c:pt>
                <c:pt idx="5">
                  <c:v>Гладкая И В</c:v>
                </c:pt>
                <c:pt idx="6">
                  <c:v>Даниленко И. Н.</c:v>
                </c:pt>
                <c:pt idx="7">
                  <c:v>Зайцева Н. А.</c:v>
                </c:pt>
                <c:pt idx="8">
                  <c:v>Закарлюка А. Г.</c:v>
                </c:pt>
                <c:pt idx="9">
                  <c:v>Каменская Н. В.</c:v>
                </c:pt>
                <c:pt idx="10">
                  <c:v>Касьянова Н. А.</c:v>
                </c:pt>
                <c:pt idx="11">
                  <c:v>Клочко А. М.</c:v>
                </c:pt>
                <c:pt idx="12">
                  <c:v>Кожанова О. В.</c:v>
                </c:pt>
                <c:pt idx="13">
                  <c:v>Колядина Г. Н.</c:v>
                </c:pt>
                <c:pt idx="14">
                  <c:v>Кравченко Л. И.</c:v>
                </c:pt>
                <c:pt idx="15">
                  <c:v>Кузнецова Н.М. </c:v>
                </c:pt>
                <c:pt idx="16">
                  <c:v>Лавриненко В. Д.</c:v>
                </c:pt>
                <c:pt idx="17">
                  <c:v>Ланова Н.Ю.</c:v>
                </c:pt>
                <c:pt idx="18">
                  <c:v>Литвинова  А. И.</c:v>
                </c:pt>
                <c:pt idx="19">
                  <c:v>Логвиненко Н. А.</c:v>
                </c:pt>
                <c:pt idx="20">
                  <c:v>Маслова Е. В.</c:v>
                </c:pt>
                <c:pt idx="21">
                  <c:v>Мельникова Л. Н.</c:v>
                </c:pt>
                <c:pt idx="22">
                  <c:v>Нагорная Н. П.</c:v>
                </c:pt>
                <c:pt idx="23">
                  <c:v>Насонова И. В.</c:v>
                </c:pt>
                <c:pt idx="24">
                  <c:v>Никулина М.А.</c:v>
                </c:pt>
                <c:pt idx="25">
                  <c:v>Новикова А. Р.</c:v>
                </c:pt>
                <c:pt idx="26">
                  <c:v>Олейникова  И. Ю.</c:v>
                </c:pt>
                <c:pt idx="27">
                  <c:v>Павлющик О.И.</c:v>
                </c:pt>
                <c:pt idx="28">
                  <c:v>Палиева А. И.</c:v>
                </c:pt>
                <c:pt idx="29">
                  <c:v>Полунина В. В.</c:v>
                </c:pt>
                <c:pt idx="30">
                  <c:v>Полякова Е. В.</c:v>
                </c:pt>
                <c:pt idx="31">
                  <c:v>Попова Т. А.</c:v>
                </c:pt>
                <c:pt idx="32">
                  <c:v>Простова Н. А.</c:v>
                </c:pt>
                <c:pt idx="33">
                  <c:v>Руденко Н.Ю.</c:v>
                </c:pt>
                <c:pt idx="34">
                  <c:v>Румянцева И. В.</c:v>
                </c:pt>
                <c:pt idx="35">
                  <c:v>Самойленко Н. Ф.</c:v>
                </c:pt>
                <c:pt idx="36">
                  <c:v>Скокова Е. В.</c:v>
                </c:pt>
                <c:pt idx="37">
                  <c:v>Сорокина М. В.</c:v>
                </c:pt>
                <c:pt idx="38">
                  <c:v>Тулинов Н. И. </c:v>
                </c:pt>
                <c:pt idx="39">
                  <c:v>Филенко Н. Ю.</c:v>
                </c:pt>
                <c:pt idx="40">
                  <c:v>Филькина И. Н.</c:v>
                </c:pt>
                <c:pt idx="41">
                  <c:v>Юркова М. Ю.</c:v>
                </c:pt>
                <c:pt idx="42">
                  <c:v>Ящук Е. Ю.</c:v>
                </c:pt>
              </c:strCache>
            </c:strRef>
          </c:cat>
          <c:val>
            <c:numRef>
              <c:f>'Таблица Учитель'!$N$6:$N$36</c:f>
              <c:numCache>
                <c:formatCode>0.0%</c:formatCode>
                <c:ptCount val="31"/>
                <c:pt idx="0">
                  <c:v>0.66163522012578613</c:v>
                </c:pt>
                <c:pt idx="1">
                  <c:v>0.53658536585365857</c:v>
                </c:pt>
                <c:pt idx="2">
                  <c:v>0.79259259259259263</c:v>
                </c:pt>
                <c:pt idx="3">
                  <c:v>0.77187499999999998</c:v>
                </c:pt>
                <c:pt idx="4">
                  <c:v>0.89473684210526316</c:v>
                </c:pt>
                <c:pt idx="5">
                  <c:v>0.68622754491017968</c:v>
                </c:pt>
                <c:pt idx="6">
                  <c:v>0.72</c:v>
                </c:pt>
                <c:pt idx="7">
                  <c:v>0.41860465116279072</c:v>
                </c:pt>
                <c:pt idx="8">
                  <c:v>0.61355932203389829</c:v>
                </c:pt>
                <c:pt idx="9">
                  <c:v>0.73333333333333328</c:v>
                </c:pt>
                <c:pt idx="10">
                  <c:v>0.79</c:v>
                </c:pt>
                <c:pt idx="11">
                  <c:v>0.66666666666666663</c:v>
                </c:pt>
                <c:pt idx="12">
                  <c:v>0.76</c:v>
                </c:pt>
                <c:pt idx="13">
                  <c:v>0.63703703703703707</c:v>
                </c:pt>
                <c:pt idx="14">
                  <c:v>0.77419354838709675</c:v>
                </c:pt>
                <c:pt idx="15">
                  <c:v>0.70322580645161292</c:v>
                </c:pt>
                <c:pt idx="16">
                  <c:v>0.36653386454183268</c:v>
                </c:pt>
                <c:pt idx="17">
                  <c:v>0.8</c:v>
                </c:pt>
                <c:pt idx="18">
                  <c:v>0.95862068965517244</c:v>
                </c:pt>
                <c:pt idx="19">
                  <c:v>0.72413793103448276</c:v>
                </c:pt>
                <c:pt idx="20">
                  <c:v>0.75121951219512195</c:v>
                </c:pt>
                <c:pt idx="21">
                  <c:v>0.52307692307692311</c:v>
                </c:pt>
                <c:pt idx="22">
                  <c:v>0.43076923076923079</c:v>
                </c:pt>
                <c:pt idx="23">
                  <c:v>0.33766233766233766</c:v>
                </c:pt>
                <c:pt idx="24">
                  <c:v>0.54567901234567906</c:v>
                </c:pt>
                <c:pt idx="25">
                  <c:v>0.80425531914893622</c:v>
                </c:pt>
                <c:pt idx="26">
                  <c:v>0.32682926829268294</c:v>
                </c:pt>
                <c:pt idx="27">
                  <c:v>0.77355371900826442</c:v>
                </c:pt>
                <c:pt idx="28">
                  <c:v>0.6097560975609756</c:v>
                </c:pt>
                <c:pt idx="29">
                  <c:v>0.54897959183673473</c:v>
                </c:pt>
                <c:pt idx="30">
                  <c:v>0.5842696629213483</c:v>
                </c:pt>
              </c:numCache>
            </c:numRef>
          </c:val>
        </c:ser>
        <c:gapWidth val="0"/>
        <c:overlap val="80"/>
        <c:axId val="64048512"/>
        <c:axId val="64230528"/>
      </c:barChart>
      <c:catAx>
        <c:axId val="64048512"/>
        <c:scaling>
          <c:orientation val="maxMin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64230528"/>
        <c:crosses val="autoZero"/>
        <c:auto val="1"/>
        <c:lblAlgn val="ctr"/>
        <c:lblOffset val="500"/>
        <c:tickMarkSkip val="1"/>
      </c:catAx>
      <c:valAx>
        <c:axId val="64230528"/>
        <c:scaling>
          <c:orientation val="minMax"/>
        </c:scaling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640485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 pitchFamily="18" charset="0"/>
          <a:ea typeface="Arial Cyr"/>
          <a:cs typeface="Times New Roman" pitchFamily="18" charset="0"/>
        </a:defRPr>
      </a:pPr>
      <a:endParaRPr lang="ru-RU"/>
    </a:p>
  </c:txPr>
  <c:printSettings>
    <c:headerFooter alignWithMargins="0"/>
    <c:pageMargins b="0.21000000000000021" l="0.75000000000000644" r="0.16" t="0.2" header="0.17" footer="0.17"/>
    <c:pageSetup paperSize="9" orientation="portrait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4.2276489895340934E-2"/>
          <c:y val="1.5989769046212139E-3"/>
          <c:w val="0.95122102264518527"/>
          <c:h val="0.99712199772177024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Список!$J$6:$J$85</c:f>
              <c:strCache>
                <c:ptCount val="43"/>
                <c:pt idx="0">
                  <c:v>Адамян С.Ю.</c:v>
                </c:pt>
                <c:pt idx="1">
                  <c:v>Алферова Н. М.</c:v>
                </c:pt>
                <c:pt idx="2">
                  <c:v>Белякова Ю. В.</c:v>
                </c:pt>
                <c:pt idx="3">
                  <c:v>Борисова М. А.</c:v>
                </c:pt>
                <c:pt idx="4">
                  <c:v>Ващенко Л. Ю.</c:v>
                </c:pt>
                <c:pt idx="5">
                  <c:v>Гладкая И В</c:v>
                </c:pt>
                <c:pt idx="6">
                  <c:v>Даниленко И. Н.</c:v>
                </c:pt>
                <c:pt idx="7">
                  <c:v>Зайцева Н. А.</c:v>
                </c:pt>
                <c:pt idx="8">
                  <c:v>Закарлюка А. Г.</c:v>
                </c:pt>
                <c:pt idx="9">
                  <c:v>Каменская Н. В.</c:v>
                </c:pt>
                <c:pt idx="10">
                  <c:v>Касьянова Н. А.</c:v>
                </c:pt>
                <c:pt idx="11">
                  <c:v>Клочко А. М.</c:v>
                </c:pt>
                <c:pt idx="12">
                  <c:v>Кожанова О. В.</c:v>
                </c:pt>
                <c:pt idx="13">
                  <c:v>Колядина Г. Н.</c:v>
                </c:pt>
                <c:pt idx="14">
                  <c:v>Кравченко Л. И.</c:v>
                </c:pt>
                <c:pt idx="15">
                  <c:v>Кузнецова Н.М. </c:v>
                </c:pt>
                <c:pt idx="16">
                  <c:v>Лавриненко В. Д.</c:v>
                </c:pt>
                <c:pt idx="17">
                  <c:v>Ланова Н.Ю.</c:v>
                </c:pt>
                <c:pt idx="18">
                  <c:v>Литвинова  А. И.</c:v>
                </c:pt>
                <c:pt idx="19">
                  <c:v>Логвиненко Н. А.</c:v>
                </c:pt>
                <c:pt idx="20">
                  <c:v>Маслова Е. В.</c:v>
                </c:pt>
                <c:pt idx="21">
                  <c:v>Мельникова Л. Н.</c:v>
                </c:pt>
                <c:pt idx="22">
                  <c:v>Нагорная Н. П.</c:v>
                </c:pt>
                <c:pt idx="23">
                  <c:v>Насонова И. В.</c:v>
                </c:pt>
                <c:pt idx="24">
                  <c:v>Никулина М.А.</c:v>
                </c:pt>
                <c:pt idx="25">
                  <c:v>Новикова А. Р.</c:v>
                </c:pt>
                <c:pt idx="26">
                  <c:v>Олейникова  И. Ю.</c:v>
                </c:pt>
                <c:pt idx="27">
                  <c:v>Павлющик О.И.</c:v>
                </c:pt>
                <c:pt idx="28">
                  <c:v>Палиева А. И.</c:v>
                </c:pt>
                <c:pt idx="29">
                  <c:v>Полунина В. В.</c:v>
                </c:pt>
                <c:pt idx="30">
                  <c:v>Полякова Е. В.</c:v>
                </c:pt>
                <c:pt idx="31">
                  <c:v>Попова Т. А.</c:v>
                </c:pt>
                <c:pt idx="32">
                  <c:v>Простова Н. А.</c:v>
                </c:pt>
                <c:pt idx="33">
                  <c:v>Руденко Н.Ю.</c:v>
                </c:pt>
                <c:pt idx="34">
                  <c:v>Румянцева И. В.</c:v>
                </c:pt>
                <c:pt idx="35">
                  <c:v>Самойленко Н. Ф.</c:v>
                </c:pt>
                <c:pt idx="36">
                  <c:v>Скокова Е. В.</c:v>
                </c:pt>
                <c:pt idx="37">
                  <c:v>Сорокина М. В.</c:v>
                </c:pt>
                <c:pt idx="38">
                  <c:v>Тулинов Н. И. </c:v>
                </c:pt>
                <c:pt idx="39">
                  <c:v>Филенко Н. Ю.</c:v>
                </c:pt>
                <c:pt idx="40">
                  <c:v>Филькина И. Н.</c:v>
                </c:pt>
                <c:pt idx="41">
                  <c:v>Юркова М. Ю.</c:v>
                </c:pt>
                <c:pt idx="42">
                  <c:v>Ящук Е. Ю.</c:v>
                </c:pt>
              </c:strCache>
            </c:strRef>
          </c:cat>
          <c:val>
            <c:numRef>
              <c:f>'Таблица Учитель'!$B$6:$B$36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</c:ser>
        <c:ser>
          <c:idx val="1"/>
          <c:order val="1"/>
          <c:spPr>
            <a:gradFill rotWithShape="0">
              <a:gsLst>
                <a:gs pos="0">
                  <a:srgbClr val="FF00FF">
                    <a:gamma/>
                    <a:shade val="46275"/>
                    <a:invGamma/>
                  </a:srgbClr>
                </a:gs>
                <a:gs pos="50000">
                  <a:srgbClr val="FF00FF"/>
                </a:gs>
                <a:gs pos="100000">
                  <a:srgbClr val="FF00FF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showVal val="1"/>
          </c:dLbls>
          <c:cat>
            <c:strRef>
              <c:f>Список!$J$6:$J$85</c:f>
              <c:strCache>
                <c:ptCount val="43"/>
                <c:pt idx="0">
                  <c:v>Адамян С.Ю.</c:v>
                </c:pt>
                <c:pt idx="1">
                  <c:v>Алферова Н. М.</c:v>
                </c:pt>
                <c:pt idx="2">
                  <c:v>Белякова Ю. В.</c:v>
                </c:pt>
                <c:pt idx="3">
                  <c:v>Борисова М. А.</c:v>
                </c:pt>
                <c:pt idx="4">
                  <c:v>Ващенко Л. Ю.</c:v>
                </c:pt>
                <c:pt idx="5">
                  <c:v>Гладкая И В</c:v>
                </c:pt>
                <c:pt idx="6">
                  <c:v>Даниленко И. Н.</c:v>
                </c:pt>
                <c:pt idx="7">
                  <c:v>Зайцева Н. А.</c:v>
                </c:pt>
                <c:pt idx="8">
                  <c:v>Закарлюка А. Г.</c:v>
                </c:pt>
                <c:pt idx="9">
                  <c:v>Каменская Н. В.</c:v>
                </c:pt>
                <c:pt idx="10">
                  <c:v>Касьянова Н. А.</c:v>
                </c:pt>
                <c:pt idx="11">
                  <c:v>Клочко А. М.</c:v>
                </c:pt>
                <c:pt idx="12">
                  <c:v>Кожанова О. В.</c:v>
                </c:pt>
                <c:pt idx="13">
                  <c:v>Колядина Г. Н.</c:v>
                </c:pt>
                <c:pt idx="14">
                  <c:v>Кравченко Л. И.</c:v>
                </c:pt>
                <c:pt idx="15">
                  <c:v>Кузнецова Н.М. </c:v>
                </c:pt>
                <c:pt idx="16">
                  <c:v>Лавриненко В. Д.</c:v>
                </c:pt>
                <c:pt idx="17">
                  <c:v>Ланова Н.Ю.</c:v>
                </c:pt>
                <c:pt idx="18">
                  <c:v>Литвинова  А. И.</c:v>
                </c:pt>
                <c:pt idx="19">
                  <c:v>Логвиненко Н. А.</c:v>
                </c:pt>
                <c:pt idx="20">
                  <c:v>Маслова Е. В.</c:v>
                </c:pt>
                <c:pt idx="21">
                  <c:v>Мельникова Л. Н.</c:v>
                </c:pt>
                <c:pt idx="22">
                  <c:v>Нагорная Н. П.</c:v>
                </c:pt>
                <c:pt idx="23">
                  <c:v>Насонова И. В.</c:v>
                </c:pt>
                <c:pt idx="24">
                  <c:v>Никулина М.А.</c:v>
                </c:pt>
                <c:pt idx="25">
                  <c:v>Новикова А. Р.</c:v>
                </c:pt>
                <c:pt idx="26">
                  <c:v>Олейникова  И. Ю.</c:v>
                </c:pt>
                <c:pt idx="27">
                  <c:v>Павлющик О.И.</c:v>
                </c:pt>
                <c:pt idx="28">
                  <c:v>Палиева А. И.</c:v>
                </c:pt>
                <c:pt idx="29">
                  <c:v>Полунина В. В.</c:v>
                </c:pt>
                <c:pt idx="30">
                  <c:v>Полякова Е. В.</c:v>
                </c:pt>
                <c:pt idx="31">
                  <c:v>Попова Т. А.</c:v>
                </c:pt>
                <c:pt idx="32">
                  <c:v>Простова Н. А.</c:v>
                </c:pt>
                <c:pt idx="33">
                  <c:v>Руденко Н.Ю.</c:v>
                </c:pt>
                <c:pt idx="34">
                  <c:v>Румянцева И. В.</c:v>
                </c:pt>
                <c:pt idx="35">
                  <c:v>Самойленко Н. Ф.</c:v>
                </c:pt>
                <c:pt idx="36">
                  <c:v>Скокова Е. В.</c:v>
                </c:pt>
                <c:pt idx="37">
                  <c:v>Сорокина М. В.</c:v>
                </c:pt>
                <c:pt idx="38">
                  <c:v>Тулинов Н. И. </c:v>
                </c:pt>
                <c:pt idx="39">
                  <c:v>Филенко Н. Ю.</c:v>
                </c:pt>
                <c:pt idx="40">
                  <c:v>Филькина И. Н.</c:v>
                </c:pt>
                <c:pt idx="41">
                  <c:v>Юркова М. Ю.</c:v>
                </c:pt>
                <c:pt idx="42">
                  <c:v>Ящук Е. Ю.</c:v>
                </c:pt>
              </c:strCache>
            </c:strRef>
          </c:cat>
          <c:val>
            <c:numRef>
              <c:f>'Таблица Учитель'!$O$6:$O$36</c:f>
              <c:numCache>
                <c:formatCode>0.00</c:formatCode>
                <c:ptCount val="31"/>
                <c:pt idx="0">
                  <c:v>11.320253334871026</c:v>
                </c:pt>
                <c:pt idx="1">
                  <c:v>10.64920634920635</c:v>
                </c:pt>
                <c:pt idx="2">
                  <c:v>4.2962962962962967</c:v>
                </c:pt>
                <c:pt idx="3">
                  <c:v>5.8265992497731469</c:v>
                </c:pt>
                <c:pt idx="4">
                  <c:v>9.3035714285714288</c:v>
                </c:pt>
                <c:pt idx="5">
                  <c:v>8.3705348020434212</c:v>
                </c:pt>
                <c:pt idx="6">
                  <c:v>13.566666666666666</c:v>
                </c:pt>
                <c:pt idx="7">
                  <c:v>9.5402472527472515</c:v>
                </c:pt>
                <c:pt idx="8">
                  <c:v>3.9346064814814814</c:v>
                </c:pt>
                <c:pt idx="9">
                  <c:v>13.726648351648352</c:v>
                </c:pt>
                <c:pt idx="10">
                  <c:v>4.25</c:v>
                </c:pt>
                <c:pt idx="11">
                  <c:v>5.06911421911422</c:v>
                </c:pt>
                <c:pt idx="12">
                  <c:v>10.533333333333333</c:v>
                </c:pt>
                <c:pt idx="13">
                  <c:v>11.851851851851851</c:v>
                </c:pt>
                <c:pt idx="14">
                  <c:v>7.709677419354839</c:v>
                </c:pt>
                <c:pt idx="15">
                  <c:v>8</c:v>
                </c:pt>
                <c:pt idx="16">
                  <c:v>11.144395115628999</c:v>
                </c:pt>
                <c:pt idx="17">
                  <c:v>7.3103448275862073</c:v>
                </c:pt>
                <c:pt idx="18">
                  <c:v>10.793103448275861</c:v>
                </c:pt>
                <c:pt idx="19">
                  <c:v>11.137931034482758</c:v>
                </c:pt>
                <c:pt idx="20">
                  <c:v>8.9316239316239301</c:v>
                </c:pt>
                <c:pt idx="21">
                  <c:v>9.8937037037037037</c:v>
                </c:pt>
                <c:pt idx="22">
                  <c:v>8.9014478114478131</c:v>
                </c:pt>
                <c:pt idx="23">
                  <c:v>12.799393939393939</c:v>
                </c:pt>
                <c:pt idx="24">
                  <c:v>4.7532162530246822</c:v>
                </c:pt>
                <c:pt idx="25">
                  <c:v>8.44516872016872</c:v>
                </c:pt>
                <c:pt idx="26">
                  <c:v>8.7597001763668434</c:v>
                </c:pt>
                <c:pt idx="27">
                  <c:v>9.5452188940092171</c:v>
                </c:pt>
                <c:pt idx="28">
                  <c:v>6.529345385796999</c:v>
                </c:pt>
                <c:pt idx="29">
                  <c:v>3.8826756913442733</c:v>
                </c:pt>
                <c:pt idx="30">
                  <c:v>8.1927203065134098</c:v>
                </c:pt>
              </c:numCache>
            </c:numRef>
          </c:val>
        </c:ser>
        <c:gapWidth val="0"/>
        <c:overlap val="80"/>
        <c:axId val="64370176"/>
        <c:axId val="64371712"/>
      </c:barChart>
      <c:catAx>
        <c:axId val="64370176"/>
        <c:scaling>
          <c:orientation val="maxMin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64371712"/>
        <c:crosses val="autoZero"/>
        <c:auto val="1"/>
        <c:lblAlgn val="ctr"/>
        <c:lblOffset val="500"/>
        <c:tickMarkSkip val="1"/>
      </c:catAx>
      <c:valAx>
        <c:axId val="64371712"/>
        <c:scaling>
          <c:orientation val="minMax"/>
        </c:scaling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64370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 pitchFamily="18" charset="0"/>
          <a:ea typeface="Arial Cyr"/>
          <a:cs typeface="Times New Roman" pitchFamily="18" charset="0"/>
        </a:defRPr>
      </a:pPr>
      <a:endParaRPr lang="ru-RU"/>
    </a:p>
  </c:txPr>
  <c:printSettings>
    <c:headerFooter alignWithMargins="0"/>
    <c:pageMargins b="0.21000000000000021" l="0.75000000000000666" r="0.16" t="0.2" header="0.17" footer="0.17"/>
    <c:pageSetup paperSize="9" orientation="portrait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</xdr:rowOff>
    </xdr:from>
    <xdr:to>
      <xdr:col>10</xdr:col>
      <xdr:colOff>530678</xdr:colOff>
      <xdr:row>61</xdr:row>
      <xdr:rowOff>27214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4</xdr:row>
      <xdr:rowOff>1</xdr:rowOff>
    </xdr:from>
    <xdr:to>
      <xdr:col>10</xdr:col>
      <xdr:colOff>523875</xdr:colOff>
      <xdr:row>60</xdr:row>
      <xdr:rowOff>76201</xdr:rowOff>
    </xdr:to>
    <xdr:graphicFrame macro="">
      <xdr:nvGraphicFramePr>
        <xdr:cNvPr id="61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2</xdr:rowOff>
    </xdr:from>
    <xdr:to>
      <xdr:col>10</xdr:col>
      <xdr:colOff>523875</xdr:colOff>
      <xdr:row>61</xdr:row>
      <xdr:rowOff>38100</xdr:rowOff>
    </xdr:to>
    <xdr:graphicFrame macro="">
      <xdr:nvGraphicFramePr>
        <xdr:cNvPr id="81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2</xdr:rowOff>
    </xdr:from>
    <xdr:to>
      <xdr:col>10</xdr:col>
      <xdr:colOff>523875</xdr:colOff>
      <xdr:row>61</xdr:row>
      <xdr:rowOff>76200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2</xdr:rowOff>
    </xdr:from>
    <xdr:to>
      <xdr:col>10</xdr:col>
      <xdr:colOff>523875</xdr:colOff>
      <xdr:row>61</xdr:row>
      <xdr:rowOff>76200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3</xdr:rowOff>
    </xdr:from>
    <xdr:to>
      <xdr:col>10</xdr:col>
      <xdr:colOff>523875</xdr:colOff>
      <xdr:row>61</xdr:row>
      <xdr:rowOff>28576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L21"/>
  <sheetViews>
    <sheetView showGridLines="0" showRowColHeaders="0" tabSelected="1" zoomScaleNormal="85" workbookViewId="0">
      <selection activeCell="G21" sqref="G21"/>
    </sheetView>
  </sheetViews>
  <sheetFormatPr defaultRowHeight="12.75"/>
  <cols>
    <col min="1" max="1" width="17.6640625" style="2" customWidth="1"/>
    <col min="2" max="2" width="4.83203125" style="2" customWidth="1"/>
    <col min="3" max="3" width="15.83203125" style="2" customWidth="1"/>
    <col min="4" max="4" width="11.6640625" style="2" customWidth="1"/>
    <col min="5" max="5" width="8.83203125" style="2" customWidth="1"/>
    <col min="6" max="6" width="15.83203125" style="2" customWidth="1"/>
    <col min="7" max="7" width="11.6640625" style="2" customWidth="1"/>
    <col min="8" max="8" width="8.83203125" style="2" customWidth="1"/>
    <col min="9" max="9" width="15.83203125" style="2" customWidth="1"/>
    <col min="10" max="10" width="4.6640625" style="2" customWidth="1"/>
    <col min="11" max="11" width="4.33203125" style="2" customWidth="1"/>
    <col min="12" max="12" width="17.6640625" style="1" customWidth="1"/>
    <col min="13" max="16384" width="9.33203125" style="1"/>
  </cols>
  <sheetData>
    <row r="1" spans="1:12" ht="8.25" customHeight="1">
      <c r="C1" s="10"/>
    </row>
    <row r="2" spans="1:12" ht="47.25" customHeight="1">
      <c r="A2" s="151" t="s">
        <v>71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</row>
    <row r="3" spans="1:12" ht="71.25" customHeight="1">
      <c r="B3" s="229" t="s">
        <v>202</v>
      </c>
      <c r="C3" s="229"/>
      <c r="D3" s="229"/>
      <c r="E3" s="229"/>
      <c r="F3" s="229"/>
      <c r="G3" s="229"/>
      <c r="H3" s="229"/>
      <c r="I3" s="229"/>
      <c r="J3" s="229"/>
      <c r="K3" s="11"/>
    </row>
    <row r="4" spans="1:12" ht="27" customHeight="1">
      <c r="C4" s="12"/>
      <c r="D4" s="12"/>
      <c r="E4" s="230" t="s">
        <v>201</v>
      </c>
      <c r="F4" s="230"/>
      <c r="G4" s="230"/>
      <c r="H4" s="12"/>
      <c r="I4" s="12"/>
    </row>
    <row r="5" spans="1:12" ht="31.5" customHeight="1">
      <c r="C5" s="12"/>
      <c r="D5" s="156" t="s">
        <v>83</v>
      </c>
      <c r="E5" s="156"/>
      <c r="F5" s="156"/>
      <c r="G5" s="156"/>
      <c r="H5" s="156"/>
      <c r="I5" s="12" t="s">
        <v>0</v>
      </c>
    </row>
    <row r="6" spans="1:12" ht="9" customHeight="1">
      <c r="C6" s="12"/>
      <c r="D6" s="134"/>
      <c r="E6" s="135"/>
      <c r="F6" s="135"/>
      <c r="G6" s="135"/>
      <c r="H6" s="134"/>
      <c r="I6" s="12"/>
    </row>
    <row r="7" spans="1:12" ht="31.5" customHeight="1">
      <c r="C7" s="12"/>
      <c r="D7" s="154" t="s">
        <v>35</v>
      </c>
      <c r="E7" s="155"/>
      <c r="F7" s="155"/>
      <c r="G7" s="155"/>
      <c r="H7" s="155"/>
      <c r="I7" s="12"/>
    </row>
    <row r="8" spans="1:12" ht="15" customHeight="1">
      <c r="C8" s="12"/>
      <c r="D8" s="13"/>
      <c r="E8" s="14"/>
      <c r="F8" s="14"/>
      <c r="G8" s="14"/>
      <c r="H8" s="14"/>
      <c r="I8" s="12"/>
    </row>
    <row r="9" spans="1:12" s="6" customFormat="1" ht="32.25" hidden="1" customHeight="1">
      <c r="A9" s="15"/>
      <c r="B9" s="153" t="s">
        <v>26</v>
      </c>
      <c r="C9" s="153"/>
      <c r="D9" s="153"/>
      <c r="E9" s="153"/>
      <c r="F9" s="153"/>
      <c r="G9" s="153"/>
      <c r="H9" s="153"/>
      <c r="I9" s="153"/>
      <c r="J9" s="153"/>
      <c r="K9" s="16"/>
    </row>
    <row r="10" spans="1:12" s="6" customFormat="1" ht="32.25" hidden="1" customHeight="1">
      <c r="A10" s="149" t="s">
        <v>1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49"/>
    </row>
    <row r="11" spans="1:12" s="6" customFormat="1" ht="4.5" hidden="1" customHeight="1">
      <c r="A11" s="149" t="s">
        <v>2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49"/>
    </row>
    <row r="12" spans="1:12" s="6" customFormat="1" ht="23.25" hidden="1" customHeight="1">
      <c r="A12" s="17"/>
      <c r="B12" s="152" t="s">
        <v>3</v>
      </c>
      <c r="C12" s="152"/>
      <c r="D12" s="152"/>
      <c r="E12" s="152"/>
      <c r="F12" s="152"/>
      <c r="G12" s="152"/>
      <c r="H12" s="152"/>
      <c r="I12" s="152"/>
      <c r="J12" s="152"/>
      <c r="K12" s="17"/>
    </row>
    <row r="13" spans="1:12" ht="8.25" hidden="1" customHeight="1">
      <c r="B13" s="12"/>
      <c r="C13" s="12"/>
      <c r="D13" s="12"/>
      <c r="E13" s="12"/>
      <c r="F13" s="12"/>
      <c r="G13" s="12"/>
      <c r="H13" s="12"/>
      <c r="I13" s="12"/>
      <c r="J13" s="12"/>
    </row>
    <row r="14" spans="1:12" ht="57.75" customHeight="1">
      <c r="A14" s="18"/>
      <c r="B14" s="150" t="s">
        <v>34</v>
      </c>
      <c r="C14" s="150"/>
      <c r="D14" s="150"/>
      <c r="E14" s="150"/>
      <c r="F14" s="150"/>
      <c r="G14" s="150"/>
      <c r="H14" s="150"/>
      <c r="I14" s="150"/>
      <c r="J14" s="150"/>
      <c r="K14" s="150"/>
    </row>
    <row r="15" spans="1:12" ht="21.75" customHeight="1">
      <c r="A15" s="231" t="s">
        <v>4</v>
      </c>
      <c r="B15" s="232" t="s">
        <v>33</v>
      </c>
      <c r="C15" s="232"/>
      <c r="D15" s="234" t="s">
        <v>203</v>
      </c>
      <c r="E15" s="233"/>
      <c r="F15" s="233"/>
      <c r="G15" s="233"/>
      <c r="H15" s="233"/>
      <c r="I15" s="233"/>
    </row>
    <row r="16" spans="1:12" s="2" customFormat="1"/>
    <row r="17" s="2" customFormat="1"/>
    <row r="18" s="2" customFormat="1"/>
    <row r="19" s="2" customFormat="1"/>
    <row r="20" s="2" customFormat="1"/>
    <row r="21" s="2" customFormat="1"/>
  </sheetData>
  <sheetProtection sheet="1" objects="1" scenarios="1"/>
  <mergeCells count="12">
    <mergeCell ref="A2:L2"/>
    <mergeCell ref="B3:J3"/>
    <mergeCell ref="B12:J12"/>
    <mergeCell ref="A10:K10"/>
    <mergeCell ref="B9:J9"/>
    <mergeCell ref="D7:H7"/>
    <mergeCell ref="D5:H5"/>
    <mergeCell ref="B15:C15"/>
    <mergeCell ref="E4:G4"/>
    <mergeCell ref="A11:K11"/>
    <mergeCell ref="D15:I15"/>
    <mergeCell ref="B14:K14"/>
  </mergeCells>
  <phoneticPr fontId="0" type="noConversion"/>
  <hyperlinks>
    <hyperlink ref="B12:J12" location="parametr!A1" display="О параметрах и примерных критериях учебных достижений "/>
  </hyperlinks>
  <pageMargins left="0.59" right="0.17" top="1.21" bottom="0.68" header="0.26" footer="0.5"/>
  <pageSetup paperSize="9" orientation="portrait" horizontalDpi="300" verticalDpi="300" r:id="rId1"/>
  <headerFooter alignWithMargins="0"/>
  <picture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K4"/>
  <sheetViews>
    <sheetView showGridLines="0" showRowColHeaders="0" workbookViewId="0">
      <selection activeCell="E2" sqref="E2"/>
    </sheetView>
  </sheetViews>
  <sheetFormatPr defaultRowHeight="12.75"/>
  <cols>
    <col min="1" max="16384" width="9.33203125" style="1"/>
  </cols>
  <sheetData>
    <row r="1" spans="1:11" ht="24.75" customHeight="1">
      <c r="A1" s="226" t="str">
        <f>'Таблица Учитель-Предмет'!D$1</f>
        <v>Муниципальное бюджетное общеобразовательное учреждение: средняя общеобразовательная школа №123 Центрального р-на г.Ростова-на-Дону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</row>
    <row r="2" spans="1:11">
      <c r="A2" s="228" t="str">
        <f>'Таблица Учитель-Предмет'!D$2</f>
        <v>2011/12 учебный год</v>
      </c>
      <c r="B2" s="228"/>
      <c r="C2" s="228"/>
      <c r="D2" s="228"/>
      <c r="E2" s="60"/>
      <c r="F2" s="70" t="s">
        <v>72</v>
      </c>
      <c r="G2" s="60"/>
      <c r="H2" s="228" t="str">
        <f>'Таблица Учитель-Предмет'!N$2</f>
        <v>1 четверть</v>
      </c>
      <c r="I2" s="228"/>
      <c r="J2" s="228"/>
      <c r="K2" s="228"/>
    </row>
    <row r="3" spans="1:11" ht="15.75">
      <c r="A3" s="227" t="s">
        <v>19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</row>
    <row r="4" spans="1:11" ht="16.5">
      <c r="A4" s="225" t="s">
        <v>22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</row>
  </sheetData>
  <sheetProtection password="DB21" sheet="1" scenarios="1"/>
  <mergeCells count="5">
    <mergeCell ref="A4:K4"/>
    <mergeCell ref="A1:K1"/>
    <mergeCell ref="A2:D2"/>
    <mergeCell ref="H2:K2"/>
    <mergeCell ref="A3:K3"/>
  </mergeCells>
  <phoneticPr fontId="0" type="noConversion"/>
  <pageMargins left="0.74803149606299213" right="0.15748031496062992" top="0.23622047244094491" bottom="0.19685039370078741" header="0.19685039370078741" footer="0.15748031496062992"/>
  <pageSetup paperSize="9" fitToHeight="4" orientation="portrait" verticalDpi="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K4"/>
  <sheetViews>
    <sheetView showGridLines="0" showRowColHeaders="0" workbookViewId="0">
      <selection activeCell="F2" sqref="F2"/>
    </sheetView>
  </sheetViews>
  <sheetFormatPr defaultRowHeight="12.75"/>
  <cols>
    <col min="1" max="10" width="9.33203125" style="1"/>
    <col min="11" max="11" width="10.6640625" style="1" customWidth="1"/>
    <col min="12" max="16384" width="9.33203125" style="1"/>
  </cols>
  <sheetData>
    <row r="1" spans="1:11" ht="24.75" customHeight="1">
      <c r="A1" s="226" t="str">
        <f>'Таблица Учитель-Предмет'!D$1</f>
        <v>Муниципальное бюджетное общеобразовательное учреждение: средняя общеобразовательная школа №123 Центрального р-на г.Ростова-на-Дону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</row>
    <row r="2" spans="1:11">
      <c r="A2" s="228" t="str">
        <f>'Таблица Учитель-Предмет'!D$2</f>
        <v>2011/12 учебный год</v>
      </c>
      <c r="B2" s="228"/>
      <c r="C2" s="228"/>
      <c r="D2" s="228"/>
      <c r="E2" s="228"/>
      <c r="F2" s="70" t="s">
        <v>72</v>
      </c>
      <c r="G2" s="228" t="str">
        <f>'Таблица Учитель-Предмет'!N$2</f>
        <v>1 четверть</v>
      </c>
      <c r="H2" s="228"/>
      <c r="I2" s="228"/>
      <c r="J2" s="228"/>
      <c r="K2" s="228"/>
    </row>
    <row r="3" spans="1:11" ht="15.75">
      <c r="A3" s="227" t="s">
        <v>19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</row>
    <row r="4" spans="1:11" ht="16.5">
      <c r="A4" s="225" t="s">
        <v>24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</row>
  </sheetData>
  <sheetProtection password="DB21" sheet="1" scenarios="1"/>
  <mergeCells count="5">
    <mergeCell ref="A4:K4"/>
    <mergeCell ref="A1:K1"/>
    <mergeCell ref="A3:K3"/>
    <mergeCell ref="A2:E2"/>
    <mergeCell ref="G2:K2"/>
  </mergeCells>
  <phoneticPr fontId="0" type="noConversion"/>
  <pageMargins left="0.74803149606299213" right="0.15748031496062992" top="0.19685039370078741" bottom="0.19685039370078741" header="0.15748031496062992" footer="0.15748031496062992"/>
  <pageSetup paperSize="9" fitToHeight="4" orientation="portrait" verticalDpi="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K4"/>
  <sheetViews>
    <sheetView showGridLines="0" showRowColHeaders="0" workbookViewId="0">
      <selection activeCell="E2" sqref="E2"/>
    </sheetView>
  </sheetViews>
  <sheetFormatPr defaultRowHeight="12.75"/>
  <cols>
    <col min="1" max="10" width="9.33203125" style="1"/>
    <col min="11" max="11" width="11.83203125" style="1" customWidth="1"/>
    <col min="12" max="16384" width="9.33203125" style="1"/>
  </cols>
  <sheetData>
    <row r="1" spans="1:11" ht="24.75" customHeight="1">
      <c r="A1" s="226" t="str">
        <f>'Таблица Учитель-Предмет'!D$1</f>
        <v>Муниципальное бюджетное общеобразовательное учреждение: средняя общеобразовательная школа №123 Центрального р-на г.Ростова-на-Дону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</row>
    <row r="2" spans="1:11">
      <c r="A2" s="228" t="str">
        <f>'Таблица Учитель-Предмет'!D$2</f>
        <v>2011/12 учебный год</v>
      </c>
      <c r="B2" s="228"/>
      <c r="C2" s="228"/>
      <c r="D2" s="228"/>
      <c r="E2" s="60"/>
      <c r="F2" s="70" t="s">
        <v>72</v>
      </c>
      <c r="G2" s="60"/>
      <c r="H2" s="228" t="str">
        <f>'Таблица Учитель-Предмет'!N$2</f>
        <v>1 четверть</v>
      </c>
      <c r="I2" s="228"/>
      <c r="J2" s="228"/>
      <c r="K2" s="228"/>
    </row>
    <row r="3" spans="1:11" ht="15.75">
      <c r="A3" s="227" t="s">
        <v>19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</row>
    <row r="4" spans="1:11" ht="16.5">
      <c r="A4" s="225" t="s">
        <v>22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</row>
  </sheetData>
  <sheetProtection password="DB21" sheet="1" scenarios="1"/>
  <mergeCells count="5">
    <mergeCell ref="A4:K4"/>
    <mergeCell ref="A1:K1"/>
    <mergeCell ref="A2:D2"/>
    <mergeCell ref="H2:K2"/>
    <mergeCell ref="A3:K3"/>
  </mergeCells>
  <phoneticPr fontId="0" type="noConversion"/>
  <pageMargins left="0.70866141732283472" right="0.19685039370078741" top="0.27559055118110237" bottom="0.19685039370078741" header="0.23622047244094491" footer="0.15748031496062992"/>
  <pageSetup paperSize="9" scale="99" fitToHeight="4" orientation="portrait" verticalDpi="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"/>
  <sheetViews>
    <sheetView showGridLines="0" showRowColHeaders="0" workbookViewId="0">
      <selection activeCell="E2" sqref="E2"/>
    </sheetView>
  </sheetViews>
  <sheetFormatPr defaultRowHeight="12.75"/>
  <cols>
    <col min="1" max="10" width="9.33203125" style="1"/>
    <col min="11" max="11" width="11.83203125" style="1" customWidth="1"/>
    <col min="12" max="16384" width="9.33203125" style="1"/>
  </cols>
  <sheetData>
    <row r="1" spans="1:11" ht="24.75" customHeight="1">
      <c r="A1" s="226" t="str">
        <f>'Таблица Учитель-Предмет'!D$1</f>
        <v>Муниципальное бюджетное общеобразовательное учреждение: средняя общеобразовательная школа №123 Центрального р-на г.Ростова-на-Дону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</row>
    <row r="2" spans="1:11">
      <c r="A2" s="228" t="str">
        <f>'Таблица Учитель-Предмет'!D$2</f>
        <v>2011/12 учебный год</v>
      </c>
      <c r="B2" s="228"/>
      <c r="C2" s="228"/>
      <c r="D2" s="228"/>
      <c r="E2" s="124"/>
      <c r="F2" s="70" t="s">
        <v>72</v>
      </c>
      <c r="G2" s="124"/>
      <c r="H2" s="228" t="str">
        <f>'Таблица Учитель-Предмет'!N$2</f>
        <v>1 четверть</v>
      </c>
      <c r="I2" s="228"/>
      <c r="J2" s="228"/>
      <c r="K2" s="228"/>
    </row>
    <row r="3" spans="1:11" ht="15.75">
      <c r="A3" s="227" t="s">
        <v>19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</row>
    <row r="4" spans="1:11" ht="16.5">
      <c r="A4" s="225" t="s">
        <v>147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</row>
  </sheetData>
  <sheetProtection password="DB21" sheet="1"/>
  <mergeCells count="5">
    <mergeCell ref="A1:K1"/>
    <mergeCell ref="A2:D2"/>
    <mergeCell ref="H2:K2"/>
    <mergeCell ref="A3:K3"/>
    <mergeCell ref="A4:K4"/>
  </mergeCells>
  <pageMargins left="0.70866141732283472" right="0.19685039370078741" top="0.27559055118110237" bottom="0.19685039370078741" header="0.23622047244094491" footer="0.15748031496062992"/>
  <pageSetup paperSize="9" scale="99" fitToHeight="4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6"/>
  <sheetViews>
    <sheetView showGridLines="0" showRowColHeaders="0" workbookViewId="0">
      <selection activeCell="C5" sqref="C5"/>
    </sheetView>
  </sheetViews>
  <sheetFormatPr defaultRowHeight="14.25"/>
  <cols>
    <col min="1" max="1" width="9.33203125" style="92"/>
    <col min="2" max="2" width="4.5" style="92" customWidth="1"/>
    <col min="3" max="3" width="23.1640625" style="92" customWidth="1"/>
    <col min="4" max="14" width="5.5" style="131" customWidth="1"/>
    <col min="15" max="16384" width="9.33203125" style="92"/>
  </cols>
  <sheetData>
    <row r="1" spans="1:14" ht="28.5" customHeight="1">
      <c r="A1" s="132" t="s">
        <v>72</v>
      </c>
      <c r="B1" s="163" t="str">
        <f>Titul!E4</f>
        <v>МОУ СОШ №123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</row>
    <row r="2" spans="1:14">
      <c r="A2" s="132" t="s">
        <v>72</v>
      </c>
      <c r="B2" s="164" t="str">
        <f>Titul!D5</f>
        <v>2011/12 учебный год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</row>
    <row r="3" spans="1:14">
      <c r="B3" s="157" t="s">
        <v>90</v>
      </c>
      <c r="C3" s="159" t="s">
        <v>91</v>
      </c>
      <c r="D3" s="161" t="s">
        <v>92</v>
      </c>
      <c r="E3" s="161"/>
      <c r="F3" s="161"/>
      <c r="G3" s="161"/>
      <c r="H3" s="161"/>
      <c r="I3" s="161"/>
      <c r="J3" s="161"/>
      <c r="K3" s="161"/>
      <c r="L3" s="161"/>
      <c r="M3" s="161"/>
      <c r="N3" s="162"/>
    </row>
    <row r="4" spans="1:14">
      <c r="B4" s="158"/>
      <c r="C4" s="160"/>
      <c r="D4" s="93">
        <v>1</v>
      </c>
      <c r="E4" s="93">
        <v>2</v>
      </c>
      <c r="F4" s="93">
        <v>3</v>
      </c>
      <c r="G4" s="93">
        <v>4</v>
      </c>
      <c r="H4" s="93">
        <v>5</v>
      </c>
      <c r="I4" s="93">
        <v>6</v>
      </c>
      <c r="J4" s="93">
        <v>7</v>
      </c>
      <c r="K4" s="93">
        <v>8</v>
      </c>
      <c r="L4" s="93">
        <v>9</v>
      </c>
      <c r="M4" s="93">
        <v>10</v>
      </c>
      <c r="N4" s="94">
        <v>11</v>
      </c>
    </row>
    <row r="5" spans="1:14" ht="12.75" customHeight="1">
      <c r="B5" s="95">
        <v>1</v>
      </c>
      <c r="C5" s="97" t="s">
        <v>47</v>
      </c>
      <c r="D5" s="98"/>
      <c r="E5" s="98"/>
      <c r="F5" s="98"/>
      <c r="G5" s="98"/>
      <c r="H5" s="98"/>
      <c r="I5" s="98"/>
      <c r="J5" s="98">
        <v>10</v>
      </c>
      <c r="K5" s="98">
        <v>9</v>
      </c>
      <c r="L5" s="98">
        <v>7</v>
      </c>
      <c r="M5" s="98">
        <v>10</v>
      </c>
      <c r="N5" s="99">
        <v>10</v>
      </c>
    </row>
    <row r="6" spans="1:14" ht="12.75" customHeight="1">
      <c r="B6" s="95">
        <f>B5+1</f>
        <v>2</v>
      </c>
      <c r="C6" s="97" t="s">
        <v>192</v>
      </c>
      <c r="D6" s="100"/>
      <c r="E6" s="100"/>
      <c r="F6" s="100"/>
      <c r="G6" s="100"/>
      <c r="H6" s="98">
        <v>9</v>
      </c>
      <c r="I6" s="98">
        <v>11</v>
      </c>
      <c r="J6" s="98">
        <v>10</v>
      </c>
      <c r="K6" s="98">
        <v>8</v>
      </c>
      <c r="L6" s="98">
        <v>9</v>
      </c>
      <c r="M6" s="98">
        <v>8</v>
      </c>
      <c r="N6" s="99">
        <v>8</v>
      </c>
    </row>
    <row r="7" spans="1:14" ht="12.75" customHeight="1">
      <c r="B7" s="95">
        <f t="shared" ref="B7:B36" si="0">B6+1</f>
        <v>3</v>
      </c>
      <c r="C7" s="97" t="s">
        <v>50</v>
      </c>
      <c r="D7" s="98"/>
      <c r="E7" s="98"/>
      <c r="F7" s="98"/>
      <c r="G7" s="98"/>
      <c r="H7" s="98"/>
      <c r="I7" s="98"/>
      <c r="J7" s="98"/>
      <c r="K7" s="98"/>
      <c r="L7" s="98"/>
      <c r="M7" s="98">
        <v>4</v>
      </c>
      <c r="N7" s="99">
        <v>4</v>
      </c>
    </row>
    <row r="8" spans="1:14" ht="12.75" customHeight="1">
      <c r="B8" s="95">
        <f t="shared" si="0"/>
        <v>4</v>
      </c>
      <c r="C8" s="97" t="s">
        <v>51</v>
      </c>
      <c r="D8" s="98"/>
      <c r="E8" s="98"/>
      <c r="F8" s="98"/>
      <c r="G8" s="98"/>
      <c r="H8" s="98">
        <v>10</v>
      </c>
      <c r="I8" s="98">
        <v>8</v>
      </c>
      <c r="J8" s="98">
        <v>7</v>
      </c>
      <c r="K8" s="98">
        <v>7</v>
      </c>
      <c r="L8" s="98">
        <v>7</v>
      </c>
      <c r="M8" s="98">
        <v>7</v>
      </c>
      <c r="N8" s="99">
        <v>7</v>
      </c>
    </row>
    <row r="9" spans="1:14" ht="12.75" customHeight="1">
      <c r="B9" s="95">
        <f t="shared" si="0"/>
        <v>5</v>
      </c>
      <c r="C9" s="97" t="s">
        <v>52</v>
      </c>
      <c r="D9" s="98"/>
      <c r="E9" s="98"/>
      <c r="F9" s="98"/>
      <c r="G9" s="98"/>
      <c r="H9" s="98"/>
      <c r="I9" s="98">
        <v>7</v>
      </c>
      <c r="J9" s="98">
        <v>6</v>
      </c>
      <c r="K9" s="98">
        <v>6</v>
      </c>
      <c r="L9" s="98">
        <v>5</v>
      </c>
      <c r="M9" s="98">
        <v>3</v>
      </c>
      <c r="N9" s="99">
        <v>3</v>
      </c>
    </row>
    <row r="10" spans="1:14" ht="12.75" customHeight="1">
      <c r="B10" s="95">
        <f t="shared" si="0"/>
        <v>6</v>
      </c>
      <c r="C10" s="97" t="s">
        <v>48</v>
      </c>
      <c r="D10" s="98"/>
      <c r="E10" s="98"/>
      <c r="F10" s="98"/>
      <c r="G10" s="98"/>
      <c r="H10" s="98"/>
      <c r="I10" s="98"/>
      <c r="J10" s="98">
        <v>12</v>
      </c>
      <c r="K10" s="98">
        <v>10</v>
      </c>
      <c r="L10" s="98">
        <v>8</v>
      </c>
      <c r="M10" s="98">
        <v>11</v>
      </c>
      <c r="N10" s="99">
        <v>11</v>
      </c>
    </row>
    <row r="11" spans="1:14" ht="12.75" customHeight="1">
      <c r="B11" s="95">
        <f t="shared" si="0"/>
        <v>7</v>
      </c>
      <c r="C11" s="97" t="s">
        <v>74</v>
      </c>
      <c r="D11" s="98"/>
      <c r="E11" s="98"/>
      <c r="F11" s="98"/>
      <c r="G11" s="98"/>
      <c r="H11" s="98">
        <v>6</v>
      </c>
      <c r="I11" s="98">
        <v>9</v>
      </c>
      <c r="J11" s="98">
        <v>9</v>
      </c>
      <c r="K11" s="98">
        <v>5</v>
      </c>
      <c r="L11" s="98"/>
      <c r="M11" s="98"/>
      <c r="N11" s="99"/>
    </row>
    <row r="12" spans="1:14" ht="12.75" customHeight="1">
      <c r="B12" s="95">
        <f t="shared" si="0"/>
        <v>8</v>
      </c>
      <c r="C12" s="97" t="s">
        <v>75</v>
      </c>
      <c r="D12" s="98"/>
      <c r="E12" s="98"/>
      <c r="F12" s="98"/>
      <c r="G12" s="98"/>
      <c r="H12" s="98">
        <v>7</v>
      </c>
      <c r="I12" s="98">
        <v>8</v>
      </c>
      <c r="J12" s="98"/>
      <c r="K12" s="98"/>
      <c r="L12" s="98"/>
      <c r="M12" s="98"/>
      <c r="N12" s="99"/>
    </row>
    <row r="13" spans="1:14" ht="12.75" customHeight="1">
      <c r="B13" s="95">
        <f t="shared" si="0"/>
        <v>9</v>
      </c>
      <c r="C13" s="97" t="s">
        <v>78</v>
      </c>
      <c r="D13" s="98">
        <v>6</v>
      </c>
      <c r="E13" s="98">
        <v>6</v>
      </c>
      <c r="F13" s="98">
        <v>6</v>
      </c>
      <c r="G13" s="98">
        <v>6</v>
      </c>
      <c r="H13" s="98"/>
      <c r="I13" s="98"/>
      <c r="J13" s="98"/>
      <c r="K13" s="98"/>
      <c r="L13" s="98"/>
      <c r="M13" s="98"/>
      <c r="N13" s="99"/>
    </row>
    <row r="14" spans="1:14" ht="12.75" customHeight="1">
      <c r="B14" s="95">
        <f t="shared" si="0"/>
        <v>10</v>
      </c>
      <c r="C14" s="97" t="s">
        <v>36</v>
      </c>
      <c r="D14" s="98">
        <v>3</v>
      </c>
      <c r="E14" s="98">
        <v>3</v>
      </c>
      <c r="F14" s="98">
        <v>3</v>
      </c>
      <c r="G14" s="98">
        <v>3</v>
      </c>
      <c r="H14" s="98">
        <v>3</v>
      </c>
      <c r="I14" s="98">
        <v>3</v>
      </c>
      <c r="J14" s="98">
        <v>1</v>
      </c>
      <c r="K14" s="98">
        <v>3</v>
      </c>
      <c r="L14" s="98"/>
      <c r="M14" s="98"/>
      <c r="N14" s="99"/>
    </row>
    <row r="15" spans="1:14" ht="12.75" customHeight="1">
      <c r="B15" s="95">
        <f t="shared" si="0"/>
        <v>11</v>
      </c>
      <c r="C15" s="97" t="s">
        <v>49</v>
      </c>
      <c r="D15" s="98">
        <v>6</v>
      </c>
      <c r="E15" s="98">
        <v>6</v>
      </c>
      <c r="F15" s="98">
        <v>6</v>
      </c>
      <c r="G15" s="98">
        <v>6</v>
      </c>
      <c r="H15" s="98">
        <v>4</v>
      </c>
      <c r="I15" s="98">
        <v>10</v>
      </c>
      <c r="J15" s="98">
        <v>4</v>
      </c>
      <c r="K15" s="98">
        <v>7</v>
      </c>
      <c r="L15" s="98">
        <v>7</v>
      </c>
      <c r="M15" s="98">
        <v>6</v>
      </c>
      <c r="N15" s="99">
        <v>6</v>
      </c>
    </row>
    <row r="16" spans="1:14" ht="12.75" customHeight="1">
      <c r="B16" s="95">
        <f t="shared" si="0"/>
        <v>12</v>
      </c>
      <c r="C16" s="97" t="s">
        <v>53</v>
      </c>
      <c r="D16" s="98">
        <v>4</v>
      </c>
      <c r="E16" s="98">
        <v>4</v>
      </c>
      <c r="F16" s="98">
        <v>4</v>
      </c>
      <c r="G16" s="98">
        <v>4</v>
      </c>
      <c r="H16" s="98">
        <v>5</v>
      </c>
      <c r="I16" s="98">
        <v>8</v>
      </c>
      <c r="J16" s="98">
        <v>6</v>
      </c>
      <c r="K16" s="98">
        <v>8</v>
      </c>
      <c r="L16" s="98">
        <v>10</v>
      </c>
      <c r="M16" s="98">
        <v>5</v>
      </c>
      <c r="N16" s="99">
        <v>5</v>
      </c>
    </row>
    <row r="17" spans="2:14" ht="12.75" customHeight="1">
      <c r="B17" s="95">
        <f t="shared" si="0"/>
        <v>13</v>
      </c>
      <c r="C17" s="97" t="s">
        <v>76</v>
      </c>
      <c r="D17" s="98"/>
      <c r="E17" s="98"/>
      <c r="F17" s="98"/>
      <c r="G17" s="98"/>
      <c r="H17" s="98">
        <v>7</v>
      </c>
      <c r="I17" s="98">
        <v>9</v>
      </c>
      <c r="J17" s="98">
        <v>5</v>
      </c>
      <c r="K17" s="98">
        <v>5</v>
      </c>
      <c r="L17" s="98"/>
      <c r="M17" s="98">
        <v>2</v>
      </c>
      <c r="N17" s="99">
        <v>2</v>
      </c>
    </row>
    <row r="18" spans="2:14" ht="12.75" customHeight="1">
      <c r="B18" s="95">
        <f t="shared" si="0"/>
        <v>14</v>
      </c>
      <c r="C18" s="97" t="s">
        <v>45</v>
      </c>
      <c r="D18" s="98"/>
      <c r="E18" s="98"/>
      <c r="F18" s="98"/>
      <c r="G18" s="98"/>
      <c r="H18" s="98">
        <v>4</v>
      </c>
      <c r="I18" s="98">
        <v>6</v>
      </c>
      <c r="J18" s="98">
        <v>4</v>
      </c>
      <c r="K18" s="98">
        <v>4</v>
      </c>
      <c r="L18" s="98">
        <v>7</v>
      </c>
      <c r="M18" s="98">
        <v>8</v>
      </c>
      <c r="N18" s="99">
        <v>8</v>
      </c>
    </row>
    <row r="19" spans="2:14" ht="12.75" customHeight="1">
      <c r="B19" s="95">
        <f t="shared" si="0"/>
        <v>15</v>
      </c>
      <c r="C19" s="97" t="s">
        <v>79</v>
      </c>
      <c r="D19" s="98">
        <v>5</v>
      </c>
      <c r="E19" s="98">
        <v>5</v>
      </c>
      <c r="F19" s="98">
        <v>5</v>
      </c>
      <c r="G19" s="98">
        <v>5</v>
      </c>
      <c r="H19" s="101"/>
      <c r="I19" s="101"/>
      <c r="J19" s="101"/>
      <c r="K19" s="101"/>
      <c r="L19" s="101"/>
      <c r="M19" s="101"/>
      <c r="N19" s="102"/>
    </row>
    <row r="20" spans="2:14" ht="12.75" customHeight="1">
      <c r="B20" s="95">
        <f t="shared" si="0"/>
        <v>16</v>
      </c>
      <c r="C20" s="97" t="s">
        <v>46</v>
      </c>
      <c r="D20" s="98"/>
      <c r="E20" s="98"/>
      <c r="F20" s="98"/>
      <c r="G20" s="98"/>
      <c r="H20" s="98">
        <v>10</v>
      </c>
      <c r="I20" s="98">
        <v>13</v>
      </c>
      <c r="J20" s="98"/>
      <c r="K20" s="98"/>
      <c r="L20" s="98"/>
      <c r="M20" s="98"/>
      <c r="N20" s="99"/>
    </row>
    <row r="21" spans="2:14" ht="12.75" customHeight="1">
      <c r="B21" s="95">
        <f t="shared" si="0"/>
        <v>17</v>
      </c>
      <c r="C21" s="97" t="s">
        <v>80</v>
      </c>
      <c r="D21" s="98">
        <v>8</v>
      </c>
      <c r="E21" s="98">
        <v>8</v>
      </c>
      <c r="F21" s="98">
        <v>8</v>
      </c>
      <c r="G21" s="98">
        <v>8</v>
      </c>
      <c r="H21" s="101"/>
      <c r="I21" s="101"/>
      <c r="J21" s="101"/>
      <c r="K21" s="101"/>
      <c r="L21" s="101"/>
      <c r="M21" s="101"/>
      <c r="N21" s="102"/>
    </row>
    <row r="22" spans="2:14" ht="12.75" customHeight="1">
      <c r="B22" s="95">
        <f t="shared" si="0"/>
        <v>18</v>
      </c>
      <c r="C22" s="97" t="s">
        <v>54</v>
      </c>
      <c r="D22" s="98">
        <v>3</v>
      </c>
      <c r="E22" s="98">
        <v>3</v>
      </c>
      <c r="F22" s="98">
        <v>3</v>
      </c>
      <c r="G22" s="98">
        <v>3</v>
      </c>
      <c r="H22" s="98">
        <v>2</v>
      </c>
      <c r="I22" s="98">
        <v>1</v>
      </c>
      <c r="J22" s="98">
        <v>1</v>
      </c>
      <c r="K22" s="98">
        <v>1</v>
      </c>
      <c r="L22" s="98"/>
      <c r="M22" s="98"/>
      <c r="N22" s="99"/>
    </row>
    <row r="23" spans="2:14" ht="12.75" customHeight="1">
      <c r="B23" s="95">
        <f t="shared" si="0"/>
        <v>19</v>
      </c>
      <c r="C23" s="97" t="s">
        <v>39</v>
      </c>
      <c r="D23" s="98"/>
      <c r="E23" s="98"/>
      <c r="F23" s="98"/>
      <c r="G23" s="98"/>
      <c r="H23" s="98"/>
      <c r="I23" s="98"/>
      <c r="J23" s="98">
        <v>8</v>
      </c>
      <c r="K23" s="98">
        <v>5</v>
      </c>
      <c r="L23" s="98">
        <v>5</v>
      </c>
      <c r="M23" s="98">
        <v>5</v>
      </c>
      <c r="N23" s="99">
        <v>5</v>
      </c>
    </row>
    <row r="24" spans="2:14" ht="12.75" customHeight="1">
      <c r="B24" s="95">
        <f t="shared" si="0"/>
        <v>20</v>
      </c>
      <c r="C24" s="97" t="s">
        <v>37</v>
      </c>
      <c r="D24" s="98"/>
      <c r="E24" s="98"/>
      <c r="F24" s="98"/>
      <c r="G24" s="98"/>
      <c r="H24" s="98">
        <v>1</v>
      </c>
      <c r="I24" s="98">
        <v>2</v>
      </c>
      <c r="J24" s="98">
        <v>3</v>
      </c>
      <c r="K24" s="98">
        <v>3</v>
      </c>
      <c r="L24" s="98">
        <v>3</v>
      </c>
      <c r="M24" s="98">
        <v>2</v>
      </c>
      <c r="N24" s="99">
        <v>2</v>
      </c>
    </row>
    <row r="25" spans="2:14" ht="12.75" customHeight="1">
      <c r="B25" s="95">
        <f t="shared" si="0"/>
        <v>21</v>
      </c>
      <c r="C25" s="97" t="s">
        <v>55</v>
      </c>
      <c r="D25" s="98"/>
      <c r="E25" s="98"/>
      <c r="F25" s="98"/>
      <c r="G25" s="98"/>
      <c r="H25" s="98"/>
      <c r="I25" s="98"/>
      <c r="J25" s="98"/>
      <c r="K25" s="98"/>
      <c r="L25" s="98"/>
      <c r="M25" s="98">
        <v>5</v>
      </c>
      <c r="N25" s="99">
        <v>5</v>
      </c>
    </row>
    <row r="26" spans="2:14" ht="12.75" customHeight="1">
      <c r="B26" s="95">
        <f t="shared" si="0"/>
        <v>22</v>
      </c>
      <c r="C26" s="97" t="s">
        <v>44</v>
      </c>
      <c r="D26" s="98"/>
      <c r="E26" s="98"/>
      <c r="F26" s="98"/>
      <c r="G26" s="98"/>
      <c r="H26" s="98">
        <v>8</v>
      </c>
      <c r="I26" s="98">
        <v>12</v>
      </c>
      <c r="J26" s="98">
        <v>11</v>
      </c>
      <c r="K26" s="98">
        <v>7</v>
      </c>
      <c r="L26" s="98">
        <v>6</v>
      </c>
      <c r="M26" s="98">
        <v>9</v>
      </c>
      <c r="N26" s="99">
        <v>9</v>
      </c>
    </row>
    <row r="27" spans="2:14" ht="12.75" customHeight="1">
      <c r="B27" s="95">
        <f t="shared" si="0"/>
        <v>23</v>
      </c>
      <c r="C27" s="97" t="s">
        <v>81</v>
      </c>
      <c r="D27" s="98">
        <v>7</v>
      </c>
      <c r="E27" s="98">
        <v>7</v>
      </c>
      <c r="F27" s="98">
        <v>7</v>
      </c>
      <c r="G27" s="98">
        <v>7</v>
      </c>
      <c r="H27" s="101"/>
      <c r="I27" s="101"/>
      <c r="J27" s="101"/>
      <c r="K27" s="101"/>
      <c r="L27" s="101"/>
      <c r="M27" s="101"/>
      <c r="N27" s="102"/>
    </row>
    <row r="28" spans="2:14" ht="12.75" customHeight="1">
      <c r="B28" s="95">
        <f t="shared" si="0"/>
        <v>24</v>
      </c>
      <c r="C28" s="97" t="s">
        <v>56</v>
      </c>
      <c r="D28" s="98"/>
      <c r="E28" s="98"/>
      <c r="F28" s="98"/>
      <c r="G28" s="98"/>
      <c r="H28" s="98">
        <v>4</v>
      </c>
      <c r="I28" s="98">
        <v>3</v>
      </c>
      <c r="J28" s="98">
        <v>2</v>
      </c>
      <c r="K28" s="98">
        <v>1</v>
      </c>
      <c r="L28" s="98">
        <v>4</v>
      </c>
      <c r="M28" s="98"/>
      <c r="N28" s="99"/>
    </row>
    <row r="29" spans="2:14" ht="12.75" customHeight="1">
      <c r="B29" s="95">
        <f t="shared" si="0"/>
        <v>25</v>
      </c>
      <c r="C29" s="97" t="s">
        <v>82</v>
      </c>
      <c r="D29" s="98">
        <v>2</v>
      </c>
      <c r="E29" s="98">
        <v>2</v>
      </c>
      <c r="F29" s="98">
        <v>2</v>
      </c>
      <c r="G29" s="98">
        <v>2</v>
      </c>
      <c r="H29" s="101"/>
      <c r="I29" s="101"/>
      <c r="J29" s="101"/>
      <c r="K29" s="101"/>
      <c r="L29" s="101"/>
      <c r="M29" s="101"/>
      <c r="N29" s="102"/>
    </row>
    <row r="30" spans="2:14" ht="12.75" customHeight="1">
      <c r="B30" s="95">
        <f t="shared" si="0"/>
        <v>26</v>
      </c>
      <c r="C30" s="97" t="s">
        <v>38</v>
      </c>
      <c r="D30" s="98">
        <v>1</v>
      </c>
      <c r="E30" s="98">
        <v>1</v>
      </c>
      <c r="F30" s="98">
        <v>1</v>
      </c>
      <c r="G30" s="98">
        <v>1</v>
      </c>
      <c r="H30" s="98">
        <v>3</v>
      </c>
      <c r="I30" s="98">
        <v>4</v>
      </c>
      <c r="J30" s="98">
        <v>2</v>
      </c>
      <c r="K30" s="98">
        <v>2</v>
      </c>
      <c r="L30" s="98">
        <v>2</v>
      </c>
      <c r="M30" s="98">
        <v>1</v>
      </c>
      <c r="N30" s="99">
        <v>1</v>
      </c>
    </row>
    <row r="31" spans="2:14" ht="12.75" customHeight="1">
      <c r="B31" s="95">
        <f t="shared" si="0"/>
        <v>27</v>
      </c>
      <c r="C31" s="97" t="s">
        <v>57</v>
      </c>
      <c r="D31" s="98"/>
      <c r="E31" s="98"/>
      <c r="F31" s="98"/>
      <c r="G31" s="98"/>
      <c r="H31" s="98"/>
      <c r="I31" s="98"/>
      <c r="J31" s="98">
        <v>8</v>
      </c>
      <c r="K31" s="98">
        <v>9</v>
      </c>
      <c r="L31" s="98">
        <v>13</v>
      </c>
      <c r="M31" s="98">
        <v>12</v>
      </c>
      <c r="N31" s="99">
        <v>12</v>
      </c>
    </row>
    <row r="32" spans="2:14" ht="12.75" customHeight="1">
      <c r="B32" s="95">
        <f t="shared" si="0"/>
        <v>28</v>
      </c>
      <c r="C32" s="97" t="s">
        <v>60</v>
      </c>
      <c r="D32" s="98"/>
      <c r="E32" s="98"/>
      <c r="F32" s="98"/>
      <c r="G32" s="98"/>
      <c r="H32" s="98"/>
      <c r="I32" s="98"/>
      <c r="J32" s="98">
        <v>13</v>
      </c>
      <c r="K32" s="98">
        <v>10</v>
      </c>
      <c r="L32" s="98">
        <v>12</v>
      </c>
      <c r="M32" s="98">
        <v>11</v>
      </c>
      <c r="N32" s="99">
        <v>11</v>
      </c>
    </row>
    <row r="33" spans="2:14" ht="12.75" customHeight="1">
      <c r="B33" s="95">
        <f t="shared" si="0"/>
        <v>29</v>
      </c>
      <c r="C33" s="97" t="s">
        <v>93</v>
      </c>
      <c r="D33" s="98"/>
      <c r="E33" s="98"/>
      <c r="F33" s="98"/>
      <c r="G33" s="98"/>
      <c r="H33" s="98">
        <v>4</v>
      </c>
      <c r="I33" s="98">
        <v>4</v>
      </c>
      <c r="J33" s="98"/>
      <c r="K33" s="98"/>
      <c r="L33" s="98"/>
      <c r="M33" s="98"/>
      <c r="N33" s="99"/>
    </row>
    <row r="34" spans="2:14" ht="12.75" customHeight="1">
      <c r="B34" s="95">
        <f t="shared" si="0"/>
        <v>30</v>
      </c>
      <c r="C34" s="97" t="s">
        <v>58</v>
      </c>
      <c r="D34" s="98"/>
      <c r="E34" s="98"/>
      <c r="F34" s="98"/>
      <c r="G34" s="98"/>
      <c r="H34" s="98"/>
      <c r="I34" s="98"/>
      <c r="J34" s="98"/>
      <c r="K34" s="98">
        <v>5</v>
      </c>
      <c r="L34" s="98">
        <v>4</v>
      </c>
      <c r="M34" s="98"/>
      <c r="N34" s="99"/>
    </row>
    <row r="35" spans="2:14" ht="12.75" customHeight="1">
      <c r="B35" s="95">
        <f t="shared" si="0"/>
        <v>31</v>
      </c>
      <c r="C35" s="97" t="s">
        <v>77</v>
      </c>
      <c r="D35" s="98"/>
      <c r="E35" s="98"/>
      <c r="F35" s="98"/>
      <c r="G35" s="98"/>
      <c r="H35" s="98">
        <v>3</v>
      </c>
      <c r="I35" s="98">
        <v>3</v>
      </c>
      <c r="J35" s="98">
        <v>3</v>
      </c>
      <c r="K35" s="98">
        <v>6</v>
      </c>
      <c r="L35" s="98">
        <v>1</v>
      </c>
      <c r="M35" s="98">
        <v>3</v>
      </c>
      <c r="N35" s="99">
        <v>3</v>
      </c>
    </row>
    <row r="36" spans="2:14" ht="12.75" customHeight="1">
      <c r="B36" s="96">
        <f t="shared" si="0"/>
        <v>32</v>
      </c>
      <c r="C36" s="235" t="s">
        <v>59</v>
      </c>
      <c r="D36" s="236"/>
      <c r="E36" s="236"/>
      <c r="F36" s="236"/>
      <c r="G36" s="236"/>
      <c r="H36" s="236"/>
      <c r="I36" s="236"/>
      <c r="J36" s="236"/>
      <c r="K36" s="236"/>
      <c r="L36" s="236">
        <v>11</v>
      </c>
      <c r="M36" s="236">
        <v>6</v>
      </c>
      <c r="N36" s="237">
        <v>6</v>
      </c>
    </row>
  </sheetData>
  <sheetProtection sheet="1" objects="1" scenarios="1" formatCells="0" formatRows="0"/>
  <sortState ref="C5:N37">
    <sortCondition ref="C5:C37"/>
  </sortState>
  <mergeCells count="5">
    <mergeCell ref="B3:B4"/>
    <mergeCell ref="C3:C4"/>
    <mergeCell ref="D3:N3"/>
    <mergeCell ref="B1:N1"/>
    <mergeCell ref="B2:N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4"/>
  <dimension ref="A1:S85"/>
  <sheetViews>
    <sheetView showGridLines="0" showRowColHeaders="0" workbookViewId="0">
      <pane ySplit="5" topLeftCell="A6" activePane="bottomLeft" state="frozen"/>
      <selection activeCell="F32" sqref="F32"/>
      <selection pane="bottomLeft" activeCell="A6" sqref="A6"/>
    </sheetView>
  </sheetViews>
  <sheetFormatPr defaultRowHeight="12.75"/>
  <cols>
    <col min="1" max="1" width="2.6640625" style="1" customWidth="1"/>
    <col min="2" max="2" width="4" style="1" customWidth="1"/>
    <col min="3" max="3" width="26.6640625" style="35" customWidth="1"/>
    <col min="4" max="4" width="2.33203125" style="35" customWidth="1"/>
    <col min="5" max="5" width="3.6640625" style="42" customWidth="1"/>
    <col min="6" max="6" width="24" style="42" customWidth="1"/>
    <col min="7" max="7" width="5.6640625" style="42" customWidth="1"/>
    <col min="8" max="8" width="2.5" style="42" customWidth="1"/>
    <col min="9" max="9" width="4.83203125" style="42" customWidth="1"/>
    <col min="10" max="10" width="24.83203125" style="42" customWidth="1"/>
    <col min="11" max="11" width="2.5" style="42" customWidth="1"/>
    <col min="12" max="12" width="4.83203125" style="1" customWidth="1"/>
    <col min="13" max="13" width="25.1640625" style="1" customWidth="1"/>
    <col min="14" max="14" width="26.6640625" style="1" customWidth="1"/>
    <col min="15" max="15" width="7.83203125" style="1" customWidth="1"/>
    <col min="16" max="16" width="2.5" style="1" customWidth="1"/>
    <col min="17" max="17" width="6.1640625" style="1" customWidth="1"/>
    <col min="18" max="18" width="24.83203125" style="1" customWidth="1"/>
    <col min="19" max="16384" width="9.33203125" style="1"/>
  </cols>
  <sheetData>
    <row r="1" spans="1:19" ht="21.75" customHeight="1">
      <c r="B1" s="168" t="str">
        <f>TRIM(Titul!B3)</f>
        <v>Муниципальное бюджетное общеобразовательное учреждение: средняя общеобразовательная школа №123 Центрального р-на г.Ростова-на-Дону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</row>
    <row r="2" spans="1:19" ht="16.5" customHeight="1">
      <c r="B2" s="103" t="s">
        <v>72</v>
      </c>
      <c r="C2" s="103"/>
      <c r="D2" s="34"/>
      <c r="E2" s="171" t="str">
        <f>Titul!$D5</f>
        <v>2011/12 учебный год</v>
      </c>
      <c r="F2" s="171"/>
      <c r="G2" s="41"/>
      <c r="H2" s="41"/>
      <c r="I2" s="41"/>
      <c r="J2" s="41"/>
      <c r="K2" s="41"/>
      <c r="L2" s="172"/>
      <c r="M2" s="172"/>
      <c r="N2" s="73" t="str">
        <f>Titul!$D7</f>
        <v>1 четверть</v>
      </c>
      <c r="O2" s="127"/>
      <c r="P2" s="46"/>
      <c r="Q2" s="47"/>
      <c r="R2" s="48"/>
      <c r="S2" s="48"/>
    </row>
    <row r="3" spans="1:19" ht="13.5" customHeight="1">
      <c r="B3" s="173" t="s">
        <v>86</v>
      </c>
      <c r="C3" s="173"/>
      <c r="E3" s="167" t="s">
        <v>87</v>
      </c>
      <c r="F3" s="167"/>
      <c r="G3" s="167"/>
      <c r="I3" s="167" t="s">
        <v>88</v>
      </c>
      <c r="J3" s="167"/>
      <c r="L3" s="174" t="s">
        <v>89</v>
      </c>
      <c r="M3" s="174"/>
      <c r="N3" s="174"/>
      <c r="O3" s="174"/>
      <c r="P3" s="22"/>
      <c r="Q3" s="167" t="s">
        <v>95</v>
      </c>
      <c r="R3" s="167"/>
      <c r="S3" s="48"/>
    </row>
    <row r="4" spans="1:19" s="61" customFormat="1" ht="49.5" customHeight="1">
      <c r="B4" s="175" t="s">
        <v>42</v>
      </c>
      <c r="C4" s="169" t="s">
        <v>73</v>
      </c>
      <c r="D4" s="76"/>
      <c r="E4" s="177"/>
      <c r="F4" s="166" t="s">
        <v>43</v>
      </c>
      <c r="G4" s="177" t="s">
        <v>42</v>
      </c>
      <c r="H4" s="74"/>
      <c r="I4" s="169" t="s">
        <v>146</v>
      </c>
      <c r="J4" s="166" t="s">
        <v>84</v>
      </c>
      <c r="K4" s="74"/>
      <c r="L4" s="126" t="s">
        <v>69</v>
      </c>
      <c r="M4" s="125" t="s">
        <v>5</v>
      </c>
      <c r="N4" s="125" t="s">
        <v>25</v>
      </c>
      <c r="O4" s="126" t="s">
        <v>40</v>
      </c>
      <c r="P4" s="44"/>
      <c r="Q4" s="165" t="s">
        <v>7</v>
      </c>
      <c r="R4" s="166" t="s">
        <v>94</v>
      </c>
      <c r="S4" s="49"/>
    </row>
    <row r="5" spans="1:19" ht="12" customHeight="1">
      <c r="A5" s="104" t="s">
        <v>72</v>
      </c>
      <c r="B5" s="176"/>
      <c r="C5" s="170"/>
      <c r="D5" s="77"/>
      <c r="E5" s="177"/>
      <c r="F5" s="166"/>
      <c r="G5" s="177"/>
      <c r="H5" s="75"/>
      <c r="I5" s="170"/>
      <c r="J5" s="166"/>
      <c r="K5" s="75"/>
      <c r="L5" s="80">
        <v>0</v>
      </c>
      <c r="M5" s="80"/>
      <c r="N5" s="80"/>
      <c r="O5" s="80"/>
      <c r="P5" s="12"/>
      <c r="Q5" s="165"/>
      <c r="R5" s="166"/>
      <c r="S5" s="48"/>
    </row>
    <row r="6" spans="1:19" ht="12" customHeight="1">
      <c r="B6" s="133">
        <v>1</v>
      </c>
      <c r="C6" s="72" t="s">
        <v>200</v>
      </c>
      <c r="D6" s="82"/>
      <c r="E6" s="83">
        <v>1</v>
      </c>
      <c r="F6" s="84" t="s">
        <v>47</v>
      </c>
      <c r="G6" s="136">
        <v>3</v>
      </c>
      <c r="H6" s="43"/>
      <c r="I6" s="123">
        <v>1</v>
      </c>
      <c r="J6" s="137" t="s">
        <v>148</v>
      </c>
      <c r="K6" s="43"/>
      <c r="L6" s="78">
        <v>1</v>
      </c>
      <c r="M6" s="137" t="s">
        <v>148</v>
      </c>
      <c r="N6" s="137" t="s">
        <v>47</v>
      </c>
      <c r="O6" s="40">
        <f>IF(N6=0,"",INDEX(G$6:G$55,MATCH($N6,Список_предметы,0)))</f>
        <v>3</v>
      </c>
      <c r="P6" s="45"/>
      <c r="Q6" s="140" t="s">
        <v>96</v>
      </c>
      <c r="R6" s="58"/>
      <c r="S6" s="48"/>
    </row>
    <row r="7" spans="1:19" ht="12" customHeight="1">
      <c r="B7" s="133">
        <v>2</v>
      </c>
      <c r="C7" s="72" t="s">
        <v>61</v>
      </c>
      <c r="D7" s="82"/>
      <c r="E7" s="83">
        <f>E6+1</f>
        <v>2</v>
      </c>
      <c r="F7" s="84" t="s">
        <v>192</v>
      </c>
      <c r="G7" s="136">
        <v>2</v>
      </c>
      <c r="H7" s="43"/>
      <c r="I7" s="123">
        <f>I6+1</f>
        <v>2</v>
      </c>
      <c r="J7" s="138" t="s">
        <v>149</v>
      </c>
      <c r="K7" s="43"/>
      <c r="L7" s="78">
        <v>2</v>
      </c>
      <c r="M7" s="138" t="s">
        <v>197</v>
      </c>
      <c r="N7" s="138" t="s">
        <v>48</v>
      </c>
      <c r="O7" s="40">
        <f>IF(N7=0,"",INDEX(G$6:G$55,MATCH($N7,Список_предметы,0)))</f>
        <v>3</v>
      </c>
      <c r="P7" s="45"/>
      <c r="Q7" s="140" t="s">
        <v>97</v>
      </c>
      <c r="R7" s="58"/>
      <c r="S7" s="48"/>
    </row>
    <row r="8" spans="1:19" ht="12" customHeight="1">
      <c r="B8" s="133">
        <v>3</v>
      </c>
      <c r="C8" s="72" t="s">
        <v>62</v>
      </c>
      <c r="D8" s="82"/>
      <c r="E8" s="83">
        <f t="shared" ref="E8:E30" si="0">E7+1</f>
        <v>3</v>
      </c>
      <c r="F8" s="84" t="s">
        <v>51</v>
      </c>
      <c r="G8" s="136">
        <v>5</v>
      </c>
      <c r="H8" s="43"/>
      <c r="I8" s="123">
        <f t="shared" ref="I8:I48" si="1">I7+1</f>
        <v>3</v>
      </c>
      <c r="J8" s="138" t="s">
        <v>150</v>
      </c>
      <c r="K8" s="43"/>
      <c r="L8" s="78">
        <v>3</v>
      </c>
      <c r="M8" s="138" t="s">
        <v>149</v>
      </c>
      <c r="N8" s="138" t="s">
        <v>45</v>
      </c>
      <c r="O8" s="40">
        <f>IF(N8=0,"",INDEX(G$6:G$55,MATCH($N8,Список_предметы,0)))</f>
        <v>1</v>
      </c>
      <c r="P8" s="45"/>
      <c r="Q8" s="140" t="s">
        <v>98</v>
      </c>
      <c r="R8" s="58"/>
      <c r="S8" s="48"/>
    </row>
    <row r="9" spans="1:19" ht="12" customHeight="1">
      <c r="B9" s="133">
        <v>4</v>
      </c>
      <c r="C9" s="72" t="s">
        <v>63</v>
      </c>
      <c r="D9" s="82"/>
      <c r="E9" s="83">
        <f t="shared" si="0"/>
        <v>4</v>
      </c>
      <c r="F9" s="84" t="s">
        <v>52</v>
      </c>
      <c r="G9" s="136">
        <v>5</v>
      </c>
      <c r="H9" s="43"/>
      <c r="I9" s="123">
        <f t="shared" si="1"/>
        <v>4</v>
      </c>
      <c r="J9" s="138" t="s">
        <v>151</v>
      </c>
      <c r="K9" s="43"/>
      <c r="L9" s="78">
        <v>4</v>
      </c>
      <c r="M9" s="138" t="s">
        <v>149</v>
      </c>
      <c r="N9" s="138" t="s">
        <v>44</v>
      </c>
      <c r="O9" s="40">
        <f>IF(N9=0,"",INDEX(G$6:G$55,MATCH($N9,Список_предметы,0)))</f>
        <v>1</v>
      </c>
      <c r="P9" s="45"/>
      <c r="Q9" s="140" t="s">
        <v>99</v>
      </c>
      <c r="R9" s="58"/>
      <c r="S9" s="48"/>
    </row>
    <row r="10" spans="1:19" ht="12" customHeight="1">
      <c r="B10" s="133">
        <v>5</v>
      </c>
      <c r="C10" s="72" t="s">
        <v>64</v>
      </c>
      <c r="D10" s="82"/>
      <c r="E10" s="83">
        <f t="shared" si="0"/>
        <v>5</v>
      </c>
      <c r="F10" s="84" t="s">
        <v>48</v>
      </c>
      <c r="G10" s="136">
        <v>3</v>
      </c>
      <c r="H10" s="43"/>
      <c r="I10" s="123">
        <f t="shared" si="1"/>
        <v>5</v>
      </c>
      <c r="J10" s="138" t="s">
        <v>152</v>
      </c>
      <c r="K10" s="43"/>
      <c r="L10" s="78">
        <v>5</v>
      </c>
      <c r="M10" s="138" t="s">
        <v>150</v>
      </c>
      <c r="N10" s="138" t="s">
        <v>51</v>
      </c>
      <c r="O10" s="40">
        <f>IF(N10=0,"",INDEX(G$6:G$55,MATCH($N10,Список_предметы,0)))</f>
        <v>5</v>
      </c>
      <c r="P10" s="45"/>
      <c r="Q10" s="140" t="s">
        <v>100</v>
      </c>
      <c r="R10" s="57"/>
      <c r="S10" s="48"/>
    </row>
    <row r="11" spans="1:19" ht="12" customHeight="1">
      <c r="B11" s="133">
        <v>6</v>
      </c>
      <c r="C11" s="72" t="s">
        <v>65</v>
      </c>
      <c r="D11" s="82"/>
      <c r="E11" s="83">
        <f t="shared" si="0"/>
        <v>6</v>
      </c>
      <c r="F11" s="84" t="s">
        <v>78</v>
      </c>
      <c r="G11" s="136">
        <v>9</v>
      </c>
      <c r="H11" s="43"/>
      <c r="I11" s="123">
        <f t="shared" si="1"/>
        <v>6</v>
      </c>
      <c r="J11" s="138" t="s">
        <v>154</v>
      </c>
      <c r="K11" s="43"/>
      <c r="L11" s="78">
        <v>6</v>
      </c>
      <c r="M11" s="57" t="s">
        <v>198</v>
      </c>
      <c r="N11" s="57" t="s">
        <v>192</v>
      </c>
      <c r="O11" s="40">
        <f>IF(N11=0,"",INDEX(G$6:G$55,MATCH($N11,Список_предметы,0)))</f>
        <v>2</v>
      </c>
      <c r="P11" s="45"/>
      <c r="Q11" s="140" t="s">
        <v>101</v>
      </c>
      <c r="R11" s="57"/>
      <c r="S11" s="48"/>
    </row>
    <row r="12" spans="1:19" ht="12" customHeight="1">
      <c r="B12" s="133">
        <v>7</v>
      </c>
      <c r="C12" s="72" t="s">
        <v>41</v>
      </c>
      <c r="D12" s="82"/>
      <c r="E12" s="83">
        <f t="shared" si="0"/>
        <v>7</v>
      </c>
      <c r="F12" s="84" t="s">
        <v>36</v>
      </c>
      <c r="G12" s="136">
        <v>6</v>
      </c>
      <c r="H12" s="43"/>
      <c r="I12" s="123">
        <f t="shared" si="1"/>
        <v>7</v>
      </c>
      <c r="J12" s="138" t="s">
        <v>155</v>
      </c>
      <c r="K12" s="43"/>
      <c r="L12" s="78">
        <v>7</v>
      </c>
      <c r="M12" s="138" t="s">
        <v>151</v>
      </c>
      <c r="N12" s="138" t="s">
        <v>192</v>
      </c>
      <c r="O12" s="40">
        <f>IF(N12=0,"",INDEX(G$6:G$55,MATCH($N12,Список_предметы,0)))</f>
        <v>2</v>
      </c>
      <c r="P12" s="45"/>
      <c r="Q12" s="140" t="s">
        <v>102</v>
      </c>
      <c r="R12" s="58"/>
      <c r="S12" s="48"/>
    </row>
    <row r="13" spans="1:19" ht="12" customHeight="1">
      <c r="B13" s="133">
        <v>8</v>
      </c>
      <c r="C13" s="72" t="s">
        <v>66</v>
      </c>
      <c r="D13" s="82"/>
      <c r="E13" s="83">
        <f t="shared" si="0"/>
        <v>8</v>
      </c>
      <c r="F13" s="84" t="s">
        <v>49</v>
      </c>
      <c r="G13" s="136">
        <v>3</v>
      </c>
      <c r="H13" s="43"/>
      <c r="I13" s="123">
        <f t="shared" si="1"/>
        <v>8</v>
      </c>
      <c r="J13" s="138" t="s">
        <v>156</v>
      </c>
      <c r="K13" s="43"/>
      <c r="L13" s="78">
        <v>8</v>
      </c>
      <c r="M13" s="138" t="s">
        <v>152</v>
      </c>
      <c r="N13" s="138" t="s">
        <v>80</v>
      </c>
      <c r="O13" s="40">
        <f>IF(N13=0,"",INDEX(G$6:G$55,MATCH($N13,Список_предметы,0)))</f>
        <v>9</v>
      </c>
      <c r="P13" s="45"/>
      <c r="Q13" s="140" t="s">
        <v>103</v>
      </c>
      <c r="R13" s="58"/>
      <c r="S13" s="48"/>
    </row>
    <row r="14" spans="1:19" ht="12" customHeight="1">
      <c r="B14" s="133">
        <v>9</v>
      </c>
      <c r="C14" s="72" t="s">
        <v>67</v>
      </c>
      <c r="D14" s="82"/>
      <c r="E14" s="83">
        <f t="shared" si="0"/>
        <v>9</v>
      </c>
      <c r="F14" s="84" t="s">
        <v>53</v>
      </c>
      <c r="G14" s="136">
        <v>4</v>
      </c>
      <c r="H14" s="43"/>
      <c r="I14" s="123">
        <f t="shared" si="1"/>
        <v>9</v>
      </c>
      <c r="J14" s="138" t="s">
        <v>157</v>
      </c>
      <c r="K14" s="43"/>
      <c r="L14" s="78">
        <v>9</v>
      </c>
      <c r="M14" s="138" t="s">
        <v>152</v>
      </c>
      <c r="N14" s="138" t="s">
        <v>78</v>
      </c>
      <c r="O14" s="40">
        <f>IF(N14=0,"",INDEX(G$6:G$55,MATCH($N14,Список_предметы,0)))</f>
        <v>9</v>
      </c>
      <c r="P14" s="45"/>
      <c r="Q14" s="140" t="s">
        <v>104</v>
      </c>
      <c r="R14" s="58"/>
      <c r="S14" s="48"/>
    </row>
    <row r="15" spans="1:19" ht="12" customHeight="1">
      <c r="B15" s="246"/>
      <c r="C15" s="247"/>
      <c r="D15" s="82"/>
      <c r="E15" s="83">
        <f t="shared" si="0"/>
        <v>10</v>
      </c>
      <c r="F15" s="84" t="s">
        <v>45</v>
      </c>
      <c r="G15" s="136">
        <v>1</v>
      </c>
      <c r="H15" s="43"/>
      <c r="I15" s="123">
        <f t="shared" si="1"/>
        <v>10</v>
      </c>
      <c r="J15" s="138" t="s">
        <v>158</v>
      </c>
      <c r="K15" s="43"/>
      <c r="L15" s="78">
        <v>10</v>
      </c>
      <c r="M15" s="138" t="s">
        <v>152</v>
      </c>
      <c r="N15" s="139" t="s">
        <v>81</v>
      </c>
      <c r="O15" s="40">
        <f>IF(N15=0,"",INDEX(G$6:G$55,MATCH($N15,Список_предметы,0)))</f>
        <v>9</v>
      </c>
      <c r="P15" s="45"/>
      <c r="Q15" s="140" t="s">
        <v>105</v>
      </c>
      <c r="R15" s="58"/>
      <c r="S15" s="48"/>
    </row>
    <row r="16" spans="1:19" ht="12" customHeight="1">
      <c r="B16" s="248"/>
      <c r="C16" s="249"/>
      <c r="D16" s="82"/>
      <c r="E16" s="83">
        <f t="shared" si="0"/>
        <v>11</v>
      </c>
      <c r="F16" s="84" t="s">
        <v>79</v>
      </c>
      <c r="G16" s="136">
        <v>9</v>
      </c>
      <c r="H16" s="43"/>
      <c r="I16" s="123">
        <f t="shared" si="1"/>
        <v>11</v>
      </c>
      <c r="J16" s="138" t="s">
        <v>160</v>
      </c>
      <c r="K16" s="43"/>
      <c r="L16" s="78">
        <v>11</v>
      </c>
      <c r="M16" s="57" t="s">
        <v>152</v>
      </c>
      <c r="N16" s="57" t="s">
        <v>80</v>
      </c>
      <c r="O16" s="40">
        <f>IF(N16=0,"",INDEX(G$6:G$55,MATCH($N16,Список_предметы,0)))</f>
        <v>9</v>
      </c>
      <c r="P16" s="45"/>
      <c r="Q16" s="140" t="s">
        <v>106</v>
      </c>
      <c r="R16" s="58"/>
      <c r="S16" s="48"/>
    </row>
    <row r="17" spans="2:19" ht="12" customHeight="1">
      <c r="B17" s="248"/>
      <c r="C17" s="249"/>
      <c r="D17" s="82"/>
      <c r="E17" s="83">
        <f t="shared" si="0"/>
        <v>12</v>
      </c>
      <c r="F17" s="84" t="s">
        <v>46</v>
      </c>
      <c r="G17" s="136">
        <v>3</v>
      </c>
      <c r="H17" s="43"/>
      <c r="I17" s="123">
        <f t="shared" si="1"/>
        <v>12</v>
      </c>
      <c r="J17" s="138" t="s">
        <v>161</v>
      </c>
      <c r="K17" s="43"/>
      <c r="L17" s="78">
        <v>12</v>
      </c>
      <c r="M17" s="57" t="s">
        <v>153</v>
      </c>
      <c r="N17" s="57" t="s">
        <v>79</v>
      </c>
      <c r="O17" s="40">
        <f>IF(N17=0,"",INDEX(G$6:G$55,MATCH($N17,Список_предметы,0)))</f>
        <v>9</v>
      </c>
      <c r="P17" s="45"/>
      <c r="Q17" s="140" t="s">
        <v>107</v>
      </c>
      <c r="R17" s="58"/>
      <c r="S17" s="48"/>
    </row>
    <row r="18" spans="2:19" ht="12" customHeight="1">
      <c r="B18" s="248"/>
      <c r="C18" s="249"/>
      <c r="D18" s="82"/>
      <c r="E18" s="83">
        <f t="shared" si="0"/>
        <v>13</v>
      </c>
      <c r="F18" s="84" t="s">
        <v>80</v>
      </c>
      <c r="G18" s="136">
        <v>9</v>
      </c>
      <c r="H18" s="43"/>
      <c r="I18" s="123">
        <f t="shared" si="1"/>
        <v>13</v>
      </c>
      <c r="J18" s="138" t="s">
        <v>162</v>
      </c>
      <c r="K18" s="43"/>
      <c r="L18" s="78">
        <v>13</v>
      </c>
      <c r="M18" s="138" t="s">
        <v>154</v>
      </c>
      <c r="N18" s="138" t="s">
        <v>81</v>
      </c>
      <c r="O18" s="40">
        <f>IF(N18=0,"",INDEX(G$6:G$55,MATCH($N18,Список_предметы,0)))</f>
        <v>9</v>
      </c>
      <c r="P18" s="45"/>
      <c r="Q18" s="140" t="s">
        <v>108</v>
      </c>
      <c r="R18" s="58"/>
      <c r="S18" s="48"/>
    </row>
    <row r="19" spans="2:19" ht="12" customHeight="1">
      <c r="B19" s="248"/>
      <c r="C19" s="249"/>
      <c r="D19" s="82"/>
      <c r="E19" s="83">
        <f t="shared" si="0"/>
        <v>14</v>
      </c>
      <c r="F19" s="84" t="s">
        <v>54</v>
      </c>
      <c r="G19" s="136">
        <v>6</v>
      </c>
      <c r="H19" s="43"/>
      <c r="I19" s="123">
        <f t="shared" si="1"/>
        <v>14</v>
      </c>
      <c r="J19" s="138" t="s">
        <v>163</v>
      </c>
      <c r="K19" s="43"/>
      <c r="L19" s="78">
        <v>14</v>
      </c>
      <c r="M19" s="138" t="s">
        <v>154</v>
      </c>
      <c r="N19" s="138" t="s">
        <v>80</v>
      </c>
      <c r="O19" s="40">
        <f>IF(N19=0,"",INDEX(G$6:G$55,MATCH($N19,Список_предметы,0)))</f>
        <v>9</v>
      </c>
      <c r="P19" s="45"/>
      <c r="Q19" s="140" t="s">
        <v>109</v>
      </c>
      <c r="R19" s="57"/>
      <c r="S19" s="48"/>
    </row>
    <row r="20" spans="2:19" ht="12" customHeight="1">
      <c r="B20" s="248"/>
      <c r="C20" s="249"/>
      <c r="D20" s="82"/>
      <c r="E20" s="83">
        <f t="shared" si="0"/>
        <v>15</v>
      </c>
      <c r="F20" s="84" t="s">
        <v>39</v>
      </c>
      <c r="G20" s="136">
        <v>6</v>
      </c>
      <c r="H20" s="43"/>
      <c r="I20" s="123">
        <f t="shared" si="1"/>
        <v>15</v>
      </c>
      <c r="J20" s="138" t="s">
        <v>164</v>
      </c>
      <c r="K20" s="43"/>
      <c r="L20" s="78">
        <v>15</v>
      </c>
      <c r="M20" s="138" t="s">
        <v>154</v>
      </c>
      <c r="N20" s="139" t="s">
        <v>78</v>
      </c>
      <c r="O20" s="40">
        <f>IF(N20=0,"",INDEX(G$6:G$55,MATCH($N20,Список_предметы,0)))</f>
        <v>9</v>
      </c>
      <c r="P20" s="45"/>
      <c r="Q20" s="140" t="s">
        <v>110</v>
      </c>
      <c r="R20" s="58"/>
      <c r="S20" s="48"/>
    </row>
    <row r="21" spans="2:19" ht="12" customHeight="1">
      <c r="E21" s="83">
        <f t="shared" si="0"/>
        <v>16</v>
      </c>
      <c r="F21" s="84" t="s">
        <v>193</v>
      </c>
      <c r="G21" s="136">
        <v>2</v>
      </c>
      <c r="H21" s="43"/>
      <c r="I21" s="123">
        <f t="shared" si="1"/>
        <v>16</v>
      </c>
      <c r="J21" s="138" t="s">
        <v>199</v>
      </c>
      <c r="K21" s="43"/>
      <c r="L21" s="78">
        <v>16</v>
      </c>
      <c r="M21" s="138" t="s">
        <v>154</v>
      </c>
      <c r="N21" s="138" t="s">
        <v>79</v>
      </c>
      <c r="O21" s="40">
        <f>IF(N21=0,"",INDEX(G$6:G$55,MATCH($N21,Список_предметы,0)))</f>
        <v>9</v>
      </c>
      <c r="P21" s="45"/>
      <c r="Q21" s="140" t="s">
        <v>111</v>
      </c>
      <c r="R21" s="58"/>
      <c r="S21" s="48"/>
    </row>
    <row r="22" spans="2:19" ht="12" customHeight="1">
      <c r="E22" s="83">
        <f t="shared" si="0"/>
        <v>17</v>
      </c>
      <c r="F22" s="84" t="s">
        <v>55</v>
      </c>
      <c r="G22" s="136">
        <v>4</v>
      </c>
      <c r="H22" s="43"/>
      <c r="I22" s="123">
        <f t="shared" si="1"/>
        <v>17</v>
      </c>
      <c r="J22" s="138" t="s">
        <v>165</v>
      </c>
      <c r="K22" s="43"/>
      <c r="L22" s="78">
        <v>17</v>
      </c>
      <c r="M22" s="138" t="s">
        <v>155</v>
      </c>
      <c r="N22" s="138" t="s">
        <v>47</v>
      </c>
      <c r="O22" s="40">
        <f>IF(N22=0,"",INDEX(G$6:G$55,MATCH($N22,Список_предметы,0)))</f>
        <v>3</v>
      </c>
      <c r="P22" s="45"/>
      <c r="Q22" s="140" t="s">
        <v>112</v>
      </c>
      <c r="R22" s="58"/>
      <c r="S22" s="48"/>
    </row>
    <row r="23" spans="2:19" ht="12" customHeight="1">
      <c r="E23" s="83">
        <f t="shared" si="0"/>
        <v>18</v>
      </c>
      <c r="F23" s="84" t="s">
        <v>44</v>
      </c>
      <c r="G23" s="136">
        <v>1</v>
      </c>
      <c r="H23" s="43"/>
      <c r="I23" s="123">
        <f t="shared" si="1"/>
        <v>18</v>
      </c>
      <c r="J23" s="138" t="s">
        <v>166</v>
      </c>
      <c r="K23" s="43"/>
      <c r="L23" s="78">
        <v>18</v>
      </c>
      <c r="M23" s="138" t="s">
        <v>155</v>
      </c>
      <c r="N23" s="138" t="s">
        <v>49</v>
      </c>
      <c r="O23" s="40">
        <f>IF(N23=0,"",INDEX(G$6:G$55,MATCH($N23,Список_предметы,0)))</f>
        <v>3</v>
      </c>
      <c r="P23" s="45"/>
      <c r="Q23" s="140" t="s">
        <v>113</v>
      </c>
      <c r="R23" s="58"/>
      <c r="S23" s="48"/>
    </row>
    <row r="24" spans="2:19" ht="12" customHeight="1">
      <c r="E24" s="83">
        <f t="shared" si="0"/>
        <v>19</v>
      </c>
      <c r="F24" s="84" t="s">
        <v>81</v>
      </c>
      <c r="G24" s="136">
        <v>9</v>
      </c>
      <c r="H24" s="43"/>
      <c r="I24" s="123">
        <f t="shared" si="1"/>
        <v>19</v>
      </c>
      <c r="J24" s="138" t="s">
        <v>167</v>
      </c>
      <c r="K24" s="43"/>
      <c r="L24" s="78">
        <v>19</v>
      </c>
      <c r="M24" s="138" t="s">
        <v>156</v>
      </c>
      <c r="N24" s="138" t="s">
        <v>44</v>
      </c>
      <c r="O24" s="40">
        <f>IF(N24=0,"",INDEX(G$6:G$55,MATCH($N24,Список_предметы,0)))</f>
        <v>1</v>
      </c>
      <c r="P24" s="45"/>
      <c r="Q24" s="140" t="s">
        <v>114</v>
      </c>
      <c r="R24" s="58"/>
      <c r="S24" s="48"/>
    </row>
    <row r="25" spans="2:19" ht="12" customHeight="1">
      <c r="E25" s="83">
        <f t="shared" si="0"/>
        <v>20</v>
      </c>
      <c r="F25" s="84" t="s">
        <v>56</v>
      </c>
      <c r="G25" s="136">
        <v>8</v>
      </c>
      <c r="H25" s="43"/>
      <c r="I25" s="123">
        <f t="shared" si="1"/>
        <v>20</v>
      </c>
      <c r="J25" s="138" t="s">
        <v>168</v>
      </c>
      <c r="K25" s="43"/>
      <c r="L25" s="78">
        <v>20</v>
      </c>
      <c r="M25" s="138" t="s">
        <v>156</v>
      </c>
      <c r="N25" s="138" t="s">
        <v>45</v>
      </c>
      <c r="O25" s="40">
        <f>IF(N25=0,"",INDEX(G$6:G$55,MATCH($N25,Список_предметы,0)))</f>
        <v>1</v>
      </c>
      <c r="P25" s="45"/>
      <c r="Q25" s="140" t="s">
        <v>115</v>
      </c>
      <c r="R25" s="58"/>
      <c r="S25" s="48"/>
    </row>
    <row r="26" spans="2:19" ht="12" customHeight="1">
      <c r="E26" s="83">
        <f t="shared" si="0"/>
        <v>21</v>
      </c>
      <c r="F26" s="84" t="s">
        <v>82</v>
      </c>
      <c r="G26" s="136">
        <v>9</v>
      </c>
      <c r="H26" s="43"/>
      <c r="I26" s="123">
        <f t="shared" si="1"/>
        <v>21</v>
      </c>
      <c r="J26" s="138" t="s">
        <v>169</v>
      </c>
      <c r="K26" s="43"/>
      <c r="L26" s="78">
        <v>21</v>
      </c>
      <c r="M26" s="138" t="s">
        <v>158</v>
      </c>
      <c r="N26" s="138" t="s">
        <v>47</v>
      </c>
      <c r="O26" s="40">
        <f>IF(N26=0,"",INDEX(G$6:G$55,MATCH($N26,Список_предметы,0)))</f>
        <v>3</v>
      </c>
      <c r="P26" s="45"/>
      <c r="Q26" s="140" t="s">
        <v>116</v>
      </c>
      <c r="R26" s="58"/>
      <c r="S26" s="48"/>
    </row>
    <row r="27" spans="2:19" ht="12" customHeight="1">
      <c r="E27" s="83">
        <f t="shared" si="0"/>
        <v>22</v>
      </c>
      <c r="F27" s="84" t="s">
        <v>38</v>
      </c>
      <c r="G27" s="136">
        <v>7</v>
      </c>
      <c r="H27" s="43"/>
      <c r="I27" s="123">
        <f t="shared" si="1"/>
        <v>22</v>
      </c>
      <c r="J27" s="138" t="s">
        <v>170</v>
      </c>
      <c r="K27" s="43"/>
      <c r="L27" s="78">
        <v>22</v>
      </c>
      <c r="M27" s="57" t="s">
        <v>159</v>
      </c>
      <c r="N27" s="57" t="s">
        <v>192</v>
      </c>
      <c r="O27" s="40">
        <f>IF(N27=0,"",INDEX(G$6:G$55,MATCH($N27,Список_предметы,0)))</f>
        <v>2</v>
      </c>
      <c r="P27" s="45"/>
      <c r="Q27" s="140" t="s">
        <v>117</v>
      </c>
      <c r="R27" s="57"/>
      <c r="S27" s="48"/>
    </row>
    <row r="28" spans="2:19" ht="12" customHeight="1">
      <c r="E28" s="83">
        <f t="shared" si="0"/>
        <v>23</v>
      </c>
      <c r="F28" s="84" t="s">
        <v>57</v>
      </c>
      <c r="G28" s="136">
        <v>5</v>
      </c>
      <c r="H28" s="43"/>
      <c r="I28" s="123">
        <f t="shared" si="1"/>
        <v>23</v>
      </c>
      <c r="J28" s="138" t="s">
        <v>171</v>
      </c>
      <c r="K28" s="43"/>
      <c r="L28" s="79">
        <v>23</v>
      </c>
      <c r="M28" s="138" t="s">
        <v>160</v>
      </c>
      <c r="N28" s="138" t="s">
        <v>79</v>
      </c>
      <c r="O28" s="40">
        <f>IF(N28=0,"",INDEX(G$6:G$55,MATCH($N28,Список_предметы,0)))</f>
        <v>9</v>
      </c>
      <c r="P28" s="45"/>
      <c r="Q28" s="140" t="s">
        <v>118</v>
      </c>
      <c r="R28" s="58"/>
      <c r="S28" s="48"/>
    </row>
    <row r="29" spans="2:19" ht="12" customHeight="1">
      <c r="E29" s="83">
        <f t="shared" si="0"/>
        <v>24</v>
      </c>
      <c r="F29" s="84" t="s">
        <v>194</v>
      </c>
      <c r="G29" s="136">
        <v>2</v>
      </c>
      <c r="H29" s="43"/>
      <c r="I29" s="123">
        <f t="shared" si="1"/>
        <v>24</v>
      </c>
      <c r="J29" s="138" t="s">
        <v>172</v>
      </c>
      <c r="K29" s="43"/>
      <c r="L29" s="78">
        <v>24</v>
      </c>
      <c r="M29" s="138" t="s">
        <v>160</v>
      </c>
      <c r="N29" s="138" t="s">
        <v>80</v>
      </c>
      <c r="O29" s="40">
        <f>IF(N29=0,"",INDEX(G$6:G$55,MATCH($N29,Список_предметы,0)))</f>
        <v>9</v>
      </c>
      <c r="P29" s="45"/>
      <c r="Q29" s="140" t="s">
        <v>119</v>
      </c>
      <c r="R29" s="57"/>
      <c r="S29" s="48"/>
    </row>
    <row r="30" spans="2:19" ht="12" customHeight="1">
      <c r="E30" s="83">
        <f t="shared" si="0"/>
        <v>25</v>
      </c>
      <c r="F30" s="84" t="s">
        <v>60</v>
      </c>
      <c r="G30" s="136">
        <v>5</v>
      </c>
      <c r="H30" s="43"/>
      <c r="I30" s="123">
        <f t="shared" si="1"/>
        <v>25</v>
      </c>
      <c r="J30" s="138" t="s">
        <v>173</v>
      </c>
      <c r="K30" s="43"/>
      <c r="L30" s="79">
        <v>25</v>
      </c>
      <c r="M30" s="138" t="s">
        <v>160</v>
      </c>
      <c r="N30" s="138" t="s">
        <v>78</v>
      </c>
      <c r="O30" s="40">
        <f>IF(N30=0,"",INDEX(G$6:G$55,MATCH($N30,Список_предметы,0)))</f>
        <v>9</v>
      </c>
      <c r="P30" s="45"/>
      <c r="Q30" s="140" t="s">
        <v>120</v>
      </c>
      <c r="R30" s="58"/>
      <c r="S30" s="48"/>
    </row>
    <row r="31" spans="2:19" ht="12" customHeight="1">
      <c r="E31" s="240"/>
      <c r="F31" s="241"/>
      <c r="G31" s="238"/>
      <c r="H31" s="43"/>
      <c r="I31" s="123">
        <f t="shared" si="1"/>
        <v>26</v>
      </c>
      <c r="J31" s="138" t="s">
        <v>174</v>
      </c>
      <c r="K31" s="43"/>
      <c r="L31" s="78">
        <v>26</v>
      </c>
      <c r="M31" s="138" t="s">
        <v>196</v>
      </c>
      <c r="N31" s="138" t="s">
        <v>44</v>
      </c>
      <c r="O31" s="40">
        <f>IF(N31=0,"",INDEX(G$6:G$55,MATCH($N31,Список_предметы,0)))</f>
        <v>1</v>
      </c>
      <c r="P31" s="45"/>
      <c r="Q31" s="140" t="s">
        <v>121</v>
      </c>
      <c r="R31" s="58"/>
      <c r="S31" s="48"/>
    </row>
    <row r="32" spans="2:19" ht="12" customHeight="1">
      <c r="E32" s="242"/>
      <c r="F32" s="243"/>
      <c r="G32" s="239"/>
      <c r="H32" s="43"/>
      <c r="I32" s="123">
        <f t="shared" si="1"/>
        <v>27</v>
      </c>
      <c r="J32" s="138" t="s">
        <v>175</v>
      </c>
      <c r="K32" s="43"/>
      <c r="L32" s="78">
        <v>27</v>
      </c>
      <c r="M32" s="138" t="s">
        <v>162</v>
      </c>
      <c r="N32" s="138" t="s">
        <v>45</v>
      </c>
      <c r="O32" s="40">
        <f>IF(N32=0,"",INDEX(G$6:G$55,MATCH($N32,Список_предметы,0)))</f>
        <v>1</v>
      </c>
      <c r="P32" s="45"/>
      <c r="Q32" s="140" t="s">
        <v>122</v>
      </c>
      <c r="R32" s="58"/>
      <c r="S32" s="48"/>
    </row>
    <row r="33" spans="5:19" ht="12" customHeight="1">
      <c r="E33" s="242"/>
      <c r="F33" s="243"/>
      <c r="G33" s="239"/>
      <c r="H33" s="43"/>
      <c r="I33" s="123">
        <f t="shared" si="1"/>
        <v>28</v>
      </c>
      <c r="J33" s="138" t="s">
        <v>176</v>
      </c>
      <c r="K33" s="43"/>
      <c r="L33" s="78">
        <v>28</v>
      </c>
      <c r="M33" s="138" t="s">
        <v>162</v>
      </c>
      <c r="N33" s="138" t="s">
        <v>44</v>
      </c>
      <c r="O33" s="40">
        <f>IF(N33=0,"",INDEX(G$6:G$55,MATCH($N33,Список_предметы,0)))</f>
        <v>1</v>
      </c>
      <c r="P33" s="45"/>
      <c r="Q33" s="140" t="s">
        <v>123</v>
      </c>
      <c r="R33" s="58"/>
      <c r="S33" s="48"/>
    </row>
    <row r="34" spans="5:19" ht="12" customHeight="1">
      <c r="E34" s="242"/>
      <c r="F34" s="243"/>
      <c r="G34" s="239"/>
      <c r="H34" s="43"/>
      <c r="I34" s="123">
        <f t="shared" si="1"/>
        <v>29</v>
      </c>
      <c r="J34" s="138" t="s">
        <v>177</v>
      </c>
      <c r="K34" s="43"/>
      <c r="L34" s="78">
        <v>29</v>
      </c>
      <c r="M34" s="138" t="s">
        <v>163</v>
      </c>
      <c r="N34" s="138" t="s">
        <v>57</v>
      </c>
      <c r="O34" s="40">
        <f>IF(N34=0,"",INDEX(G$6:G$55,MATCH($N34,Список_предметы,0)))</f>
        <v>5</v>
      </c>
      <c r="P34" s="45"/>
      <c r="Q34" s="140" t="s">
        <v>124</v>
      </c>
      <c r="R34" s="58"/>
      <c r="S34" s="48"/>
    </row>
    <row r="35" spans="5:19" ht="12" customHeight="1">
      <c r="E35" s="242"/>
      <c r="F35" s="243"/>
      <c r="G35" s="239"/>
      <c r="H35" s="43"/>
      <c r="I35" s="123">
        <f t="shared" si="1"/>
        <v>30</v>
      </c>
      <c r="J35" s="138" t="s">
        <v>178</v>
      </c>
      <c r="K35" s="43"/>
      <c r="L35" s="78">
        <v>30</v>
      </c>
      <c r="M35" s="138" t="s">
        <v>164</v>
      </c>
      <c r="N35" s="139" t="s">
        <v>192</v>
      </c>
      <c r="O35" s="40">
        <f>IF(N35=0,"",INDEX(G$6:G$55,MATCH($N35,Список_предметы,0)))</f>
        <v>2</v>
      </c>
      <c r="P35" s="45"/>
      <c r="Q35" s="140" t="s">
        <v>125</v>
      </c>
      <c r="R35" s="58"/>
      <c r="S35" s="48"/>
    </row>
    <row r="36" spans="5:19" ht="12" customHeight="1">
      <c r="E36" s="242"/>
      <c r="F36" s="243"/>
      <c r="G36" s="239"/>
      <c r="H36" s="43"/>
      <c r="I36" s="123">
        <f t="shared" si="1"/>
        <v>31</v>
      </c>
      <c r="J36" s="138" t="s">
        <v>179</v>
      </c>
      <c r="K36" s="43"/>
      <c r="L36" s="78">
        <v>31</v>
      </c>
      <c r="M36" s="138" t="s">
        <v>195</v>
      </c>
      <c r="N36" s="138" t="s">
        <v>47</v>
      </c>
      <c r="O36" s="40">
        <f>IF(N36=0,"",INDEX(G$6:G$55,MATCH($N36,Список_предметы,0)))</f>
        <v>3</v>
      </c>
      <c r="P36" s="45"/>
      <c r="Q36" s="140" t="s">
        <v>126</v>
      </c>
      <c r="R36" s="58"/>
      <c r="S36" s="48"/>
    </row>
    <row r="37" spans="5:19" ht="12" customHeight="1">
      <c r="E37" s="242"/>
      <c r="F37" s="243"/>
      <c r="G37" s="239"/>
      <c r="H37" s="43"/>
      <c r="I37" s="123">
        <f t="shared" si="1"/>
        <v>32</v>
      </c>
      <c r="J37" s="138" t="s">
        <v>180</v>
      </c>
      <c r="K37" s="43"/>
      <c r="L37" s="78">
        <v>32</v>
      </c>
      <c r="M37" s="138" t="s">
        <v>199</v>
      </c>
      <c r="N37" s="138" t="s">
        <v>48</v>
      </c>
      <c r="O37" s="40">
        <f>IF(N37=0,"",INDEX(G$6:G$55,MATCH($N37,Список_предметы,0)))</f>
        <v>3</v>
      </c>
      <c r="P37" s="45"/>
      <c r="Q37" s="140" t="s">
        <v>127</v>
      </c>
      <c r="R37" s="58"/>
      <c r="S37" s="48"/>
    </row>
    <row r="38" spans="5:19" ht="12" customHeight="1">
      <c r="E38" s="242"/>
      <c r="F38" s="243"/>
      <c r="G38" s="239"/>
      <c r="H38" s="43"/>
      <c r="I38" s="123">
        <f t="shared" si="1"/>
        <v>33</v>
      </c>
      <c r="J38" s="138" t="s">
        <v>181</v>
      </c>
      <c r="K38" s="43"/>
      <c r="L38" s="78">
        <v>33</v>
      </c>
      <c r="M38" s="58" t="s">
        <v>199</v>
      </c>
      <c r="N38" s="57" t="s">
        <v>46</v>
      </c>
      <c r="O38" s="40">
        <f>IF(N38=0,"",INDEX(G$6:G$55,MATCH($N38,Список_предметы,0)))</f>
        <v>3</v>
      </c>
      <c r="P38" s="45"/>
      <c r="Q38" s="140" t="s">
        <v>128</v>
      </c>
      <c r="R38" s="58"/>
      <c r="S38" s="48"/>
    </row>
    <row r="39" spans="5:19" ht="12" customHeight="1">
      <c r="E39" s="242"/>
      <c r="F39" s="243"/>
      <c r="G39" s="239"/>
      <c r="H39" s="43"/>
      <c r="I39" s="123">
        <f t="shared" si="1"/>
        <v>34</v>
      </c>
      <c r="J39" s="138" t="s">
        <v>182</v>
      </c>
      <c r="K39" s="43"/>
      <c r="L39" s="78">
        <v>34</v>
      </c>
      <c r="M39" s="138" t="s">
        <v>166</v>
      </c>
      <c r="N39" s="138" t="s">
        <v>53</v>
      </c>
      <c r="O39" s="40">
        <f>IF(N39=0,"",INDEX(G$6:G$55,MATCH($N39,Список_предметы,0)))</f>
        <v>4</v>
      </c>
      <c r="P39" s="45"/>
      <c r="Q39" s="140" t="s">
        <v>129</v>
      </c>
      <c r="R39" s="58"/>
      <c r="S39" s="48"/>
    </row>
    <row r="40" spans="5:19" ht="12" customHeight="1">
      <c r="E40" s="242"/>
      <c r="F40" s="243"/>
      <c r="G40" s="239"/>
      <c r="H40" s="43"/>
      <c r="I40" s="123">
        <f t="shared" si="1"/>
        <v>35</v>
      </c>
      <c r="J40" s="138" t="s">
        <v>183</v>
      </c>
      <c r="K40" s="43"/>
      <c r="L40" s="78">
        <v>35</v>
      </c>
      <c r="M40" s="138" t="s">
        <v>166</v>
      </c>
      <c r="N40" s="138" t="s">
        <v>55</v>
      </c>
      <c r="O40" s="40">
        <f>IF(N40=0,"",INDEX(G$6:G$55,MATCH($N40,Список_предметы,0)))</f>
        <v>4</v>
      </c>
      <c r="P40" s="45"/>
      <c r="Q40" s="140" t="s">
        <v>130</v>
      </c>
      <c r="R40" s="57"/>
      <c r="S40" s="48"/>
    </row>
    <row r="41" spans="5:19" ht="12" customHeight="1">
      <c r="E41" s="242"/>
      <c r="F41" s="243"/>
      <c r="G41" s="239"/>
      <c r="H41" s="43"/>
      <c r="I41" s="123">
        <f t="shared" si="1"/>
        <v>36</v>
      </c>
      <c r="J41" s="138" t="s">
        <v>184</v>
      </c>
      <c r="K41" s="43"/>
      <c r="L41" s="78">
        <v>36</v>
      </c>
      <c r="M41" s="138" t="s">
        <v>167</v>
      </c>
      <c r="N41" s="138" t="s">
        <v>79</v>
      </c>
      <c r="O41" s="40">
        <f>IF(N41=0,"",INDEX(G$6:G$55,MATCH($N41,Список_предметы,0)))</f>
        <v>9</v>
      </c>
      <c r="P41" s="45"/>
      <c r="Q41" s="140" t="s">
        <v>131</v>
      </c>
      <c r="R41" s="84"/>
      <c r="S41" s="48"/>
    </row>
    <row r="42" spans="5:19" ht="12" customHeight="1">
      <c r="E42" s="242"/>
      <c r="F42" s="243"/>
      <c r="G42" s="239"/>
      <c r="H42" s="43"/>
      <c r="I42" s="123">
        <f t="shared" si="1"/>
        <v>37</v>
      </c>
      <c r="J42" s="138" t="s">
        <v>185</v>
      </c>
      <c r="K42" s="43"/>
      <c r="L42" s="78">
        <v>37</v>
      </c>
      <c r="M42" s="138" t="s">
        <v>167</v>
      </c>
      <c r="N42" s="138" t="s">
        <v>80</v>
      </c>
      <c r="O42" s="40">
        <f>IF(N42=0,"",INDEX(G$6:G$55,MATCH($N42,Список_предметы,0)))</f>
        <v>9</v>
      </c>
      <c r="P42" s="45"/>
      <c r="Q42" s="140" t="s">
        <v>132</v>
      </c>
      <c r="R42" s="84"/>
      <c r="S42" s="48"/>
    </row>
    <row r="43" spans="5:19" ht="12" customHeight="1">
      <c r="E43" s="242"/>
      <c r="F43" s="243"/>
      <c r="G43" s="239"/>
      <c r="H43" s="43"/>
      <c r="I43" s="123">
        <f t="shared" si="1"/>
        <v>38</v>
      </c>
      <c r="J43" s="138" t="s">
        <v>186</v>
      </c>
      <c r="K43" s="43"/>
      <c r="L43" s="78">
        <v>38</v>
      </c>
      <c r="M43" s="138" t="s">
        <v>167</v>
      </c>
      <c r="N43" s="138" t="s">
        <v>78</v>
      </c>
      <c r="O43" s="40">
        <f>IF(N43=0,"",INDEX(G$6:G$55,MATCH($N43,Список_предметы,0)))</f>
        <v>9</v>
      </c>
      <c r="P43" s="45"/>
      <c r="Q43" s="140" t="s">
        <v>133</v>
      </c>
      <c r="R43" s="84"/>
      <c r="S43" s="48"/>
    </row>
    <row r="44" spans="5:19" ht="12" customHeight="1">
      <c r="E44" s="242"/>
      <c r="F44" s="243"/>
      <c r="G44" s="239"/>
      <c r="H44" s="43"/>
      <c r="I44" s="123">
        <f t="shared" si="1"/>
        <v>39</v>
      </c>
      <c r="J44" s="138" t="s">
        <v>187</v>
      </c>
      <c r="K44" s="43"/>
      <c r="L44" s="78">
        <v>39</v>
      </c>
      <c r="M44" s="138" t="s">
        <v>168</v>
      </c>
      <c r="N44" s="138" t="s">
        <v>55</v>
      </c>
      <c r="O44" s="40">
        <f>IF(N44=0,"",INDEX(G$6:G$55,MATCH($N44,Список_предметы,0)))</f>
        <v>4</v>
      </c>
      <c r="P44" s="45"/>
      <c r="Q44" s="140" t="s">
        <v>134</v>
      </c>
      <c r="R44" s="84"/>
      <c r="S44" s="48"/>
    </row>
    <row r="45" spans="5:19" ht="12" customHeight="1">
      <c r="E45" s="242"/>
      <c r="F45" s="243"/>
      <c r="G45" s="239"/>
      <c r="H45" s="43"/>
      <c r="I45" s="123">
        <f t="shared" si="1"/>
        <v>40</v>
      </c>
      <c r="J45" s="138" t="s">
        <v>188</v>
      </c>
      <c r="K45" s="43"/>
      <c r="L45" s="78">
        <v>40</v>
      </c>
      <c r="M45" s="138" t="s">
        <v>169</v>
      </c>
      <c r="N45" s="138" t="s">
        <v>192</v>
      </c>
      <c r="O45" s="40">
        <f>IF(N45=0,"",INDEX(G$6:G$55,MATCH($N45,Список_предметы,0)))</f>
        <v>2</v>
      </c>
      <c r="P45" s="45"/>
      <c r="Q45" s="140" t="s">
        <v>135</v>
      </c>
      <c r="R45" s="84"/>
      <c r="S45" s="48"/>
    </row>
    <row r="46" spans="5:19" ht="12" customHeight="1">
      <c r="E46" s="242"/>
      <c r="F46" s="243"/>
      <c r="G46" s="239"/>
      <c r="H46" s="43"/>
      <c r="I46" s="123">
        <f t="shared" si="1"/>
        <v>41</v>
      </c>
      <c r="J46" s="138" t="s">
        <v>189</v>
      </c>
      <c r="K46" s="43"/>
      <c r="L46" s="78">
        <v>41</v>
      </c>
      <c r="M46" s="138" t="s">
        <v>170</v>
      </c>
      <c r="N46" s="138" t="s">
        <v>51</v>
      </c>
      <c r="O46" s="40">
        <f>IF(N46=0,"",INDEX(G$6:G$55,MATCH($N46,Список_предметы,0)))</f>
        <v>5</v>
      </c>
      <c r="P46" s="45"/>
      <c r="Q46" s="140" t="s">
        <v>136</v>
      </c>
      <c r="R46" s="84"/>
      <c r="S46" s="48"/>
    </row>
    <row r="47" spans="5:19" ht="12" customHeight="1">
      <c r="E47" s="242"/>
      <c r="F47" s="243"/>
      <c r="G47" s="239"/>
      <c r="H47" s="43"/>
      <c r="I47" s="123">
        <f t="shared" si="1"/>
        <v>42</v>
      </c>
      <c r="J47" s="138" t="s">
        <v>190</v>
      </c>
      <c r="K47" s="43"/>
      <c r="L47" s="78">
        <v>42</v>
      </c>
      <c r="M47" s="138" t="s">
        <v>170</v>
      </c>
      <c r="N47" s="138" t="s">
        <v>60</v>
      </c>
      <c r="O47" s="40">
        <f>IF(N47=0,"",INDEX(G$6:G$55,MATCH($N47,Список_предметы,0)))</f>
        <v>5</v>
      </c>
      <c r="P47" s="45"/>
      <c r="Q47" s="140" t="s">
        <v>137</v>
      </c>
      <c r="R47" s="84"/>
      <c r="S47" s="48"/>
    </row>
    <row r="48" spans="5:19" ht="12" customHeight="1">
      <c r="E48" s="242"/>
      <c r="F48" s="243"/>
      <c r="G48" s="239"/>
      <c r="H48" s="43"/>
      <c r="I48" s="123">
        <f t="shared" si="1"/>
        <v>43</v>
      </c>
      <c r="J48" s="138" t="s">
        <v>191</v>
      </c>
      <c r="K48" s="43"/>
      <c r="L48" s="78">
        <v>43</v>
      </c>
      <c r="M48" s="138" t="s">
        <v>171</v>
      </c>
      <c r="N48" s="138" t="s">
        <v>79</v>
      </c>
      <c r="O48" s="40">
        <f>IF(N48=0,"",INDEX(G$6:G$55,MATCH($N48,Список_предметы,0)))</f>
        <v>9</v>
      </c>
      <c r="P48" s="45"/>
      <c r="Q48" s="140" t="s">
        <v>138</v>
      </c>
      <c r="R48" s="84"/>
      <c r="S48" s="48"/>
    </row>
    <row r="49" spans="5:19" ht="12" customHeight="1">
      <c r="E49" s="242"/>
      <c r="F49" s="243"/>
      <c r="G49" s="239"/>
      <c r="H49" s="43"/>
      <c r="I49" s="250"/>
      <c r="J49" s="251"/>
      <c r="K49" s="43"/>
      <c r="L49" s="78">
        <v>44</v>
      </c>
      <c r="M49" s="138" t="s">
        <v>171</v>
      </c>
      <c r="N49" s="138" t="s">
        <v>80</v>
      </c>
      <c r="O49" s="40">
        <f>IF(N49=0,"",INDEX(G$6:G$55,MATCH($N49,Список_предметы,0)))</f>
        <v>9</v>
      </c>
      <c r="P49" s="45"/>
      <c r="Q49" s="140" t="s">
        <v>139</v>
      </c>
      <c r="R49" s="84"/>
      <c r="S49" s="48"/>
    </row>
    <row r="50" spans="5:19" ht="12" customHeight="1">
      <c r="E50" s="242"/>
      <c r="F50" s="243"/>
      <c r="G50" s="239"/>
      <c r="H50" s="43"/>
      <c r="I50" s="252"/>
      <c r="J50" s="254"/>
      <c r="K50" s="43"/>
      <c r="L50" s="79">
        <v>45</v>
      </c>
      <c r="M50" s="138" t="s">
        <v>172</v>
      </c>
      <c r="N50" s="139" t="s">
        <v>60</v>
      </c>
      <c r="O50" s="40">
        <f>IF(N50=0,"",INDEX(G$6:G$55,MATCH($N50,Список_предметы,0)))</f>
        <v>5</v>
      </c>
      <c r="P50" s="45"/>
      <c r="Q50" s="140" t="s">
        <v>140</v>
      </c>
      <c r="R50" s="84"/>
      <c r="S50" s="48"/>
    </row>
    <row r="51" spans="5:19" ht="12" customHeight="1">
      <c r="E51" s="242"/>
      <c r="F51" s="244"/>
      <c r="G51" s="245"/>
      <c r="H51" s="43"/>
      <c r="I51" s="252"/>
      <c r="J51" s="254"/>
      <c r="K51" s="43"/>
      <c r="L51" s="78">
        <v>46</v>
      </c>
      <c r="M51" s="138" t="s">
        <v>173</v>
      </c>
      <c r="N51" s="138" t="s">
        <v>192</v>
      </c>
      <c r="O51" s="40">
        <f>IF(N51=0,"",INDEX(G$6:G$55,MATCH($N51,Список_предметы,0)))</f>
        <v>2</v>
      </c>
      <c r="P51" s="45"/>
      <c r="Q51" s="140" t="s">
        <v>141</v>
      </c>
      <c r="R51" s="85"/>
      <c r="S51" s="48"/>
    </row>
    <row r="52" spans="5:19" ht="12" customHeight="1">
      <c r="E52" s="242"/>
      <c r="F52" s="244"/>
      <c r="G52" s="245"/>
      <c r="H52" s="43"/>
      <c r="I52" s="252"/>
      <c r="J52" s="254"/>
      <c r="K52" s="43"/>
      <c r="L52" s="78">
        <v>47</v>
      </c>
      <c r="M52" s="138" t="s">
        <v>174</v>
      </c>
      <c r="N52" s="138" t="s">
        <v>48</v>
      </c>
      <c r="O52" s="40">
        <f>IF(N52=0,"",INDEX(G$6:G$55,MATCH($N52,Список_предметы,0)))</f>
        <v>3</v>
      </c>
      <c r="P52" s="45"/>
      <c r="Q52" s="140" t="s">
        <v>142</v>
      </c>
      <c r="R52" s="85"/>
      <c r="S52" s="48"/>
    </row>
    <row r="53" spans="5:19" ht="12" customHeight="1">
      <c r="E53" s="242"/>
      <c r="F53" s="244"/>
      <c r="G53" s="245"/>
      <c r="H53" s="43"/>
      <c r="I53" s="252"/>
      <c r="J53" s="254"/>
      <c r="K53" s="43"/>
      <c r="L53" s="78">
        <v>48</v>
      </c>
      <c r="M53" s="57" t="s">
        <v>174</v>
      </c>
      <c r="N53" s="57" t="s">
        <v>46</v>
      </c>
      <c r="O53" s="40">
        <f>IF(N53=0,"",INDEX(G$6:G$55,MATCH($N53,Список_предметы,0)))</f>
        <v>3</v>
      </c>
      <c r="P53" s="45"/>
      <c r="Q53" s="140" t="s">
        <v>143</v>
      </c>
      <c r="R53" s="85"/>
      <c r="S53" s="48"/>
    </row>
    <row r="54" spans="5:19" ht="12" customHeight="1">
      <c r="E54" s="242"/>
      <c r="F54" s="244"/>
      <c r="G54" s="245"/>
      <c r="H54" s="43"/>
      <c r="I54" s="252"/>
      <c r="J54" s="253"/>
      <c r="K54" s="43"/>
      <c r="L54" s="78">
        <v>49</v>
      </c>
      <c r="M54" s="138" t="s">
        <v>175</v>
      </c>
      <c r="N54" s="138" t="s">
        <v>54</v>
      </c>
      <c r="O54" s="40">
        <f>IF(N54=0,"",INDEX(G$6:G$55,MATCH($N54,Список_предметы,0)))</f>
        <v>6</v>
      </c>
      <c r="P54" s="45"/>
      <c r="Q54" s="257"/>
      <c r="R54" s="258"/>
      <c r="S54" s="48"/>
    </row>
    <row r="55" spans="5:19" ht="12" customHeight="1">
      <c r="E55" s="242"/>
      <c r="F55" s="244"/>
      <c r="G55" s="245"/>
      <c r="H55" s="43"/>
      <c r="I55" s="252"/>
      <c r="J55" s="256"/>
      <c r="K55" s="43"/>
      <c r="L55" s="78">
        <v>50</v>
      </c>
      <c r="M55" s="138" t="s">
        <v>176</v>
      </c>
      <c r="N55" s="138" t="s">
        <v>49</v>
      </c>
      <c r="O55" s="40">
        <f>IF(N55=0,"",INDEX(G$6:G$55,MATCH($N55,Список_предметы,0)))</f>
        <v>3</v>
      </c>
      <c r="P55" s="45"/>
      <c r="Q55" s="259"/>
      <c r="R55" s="244"/>
      <c r="S55" s="48"/>
    </row>
    <row r="56" spans="5:19" ht="12" customHeight="1">
      <c r="E56" s="43"/>
      <c r="F56" s="43"/>
      <c r="G56" s="43"/>
      <c r="H56" s="43"/>
      <c r="I56" s="252"/>
      <c r="J56" s="255"/>
      <c r="K56" s="43"/>
      <c r="L56" s="78">
        <v>51</v>
      </c>
      <c r="M56" s="138" t="s">
        <v>177</v>
      </c>
      <c r="N56" s="138" t="s">
        <v>51</v>
      </c>
      <c r="O56" s="40">
        <f>IF(N56=0,"",INDEX(G$6:G$55,MATCH($N56,Список_предметы,0)))</f>
        <v>5</v>
      </c>
      <c r="P56" s="45"/>
      <c r="Q56" s="259"/>
      <c r="R56" s="244"/>
      <c r="S56" s="48"/>
    </row>
    <row r="57" spans="5:19" ht="12" customHeight="1">
      <c r="E57" s="43"/>
      <c r="F57" s="43"/>
      <c r="G57" s="43"/>
      <c r="H57" s="43"/>
      <c r="I57" s="252"/>
      <c r="J57" s="255"/>
      <c r="K57" s="43"/>
      <c r="L57" s="78">
        <v>52</v>
      </c>
      <c r="M57" s="138" t="s">
        <v>178</v>
      </c>
      <c r="N57" s="138" t="s">
        <v>45</v>
      </c>
      <c r="O57" s="40">
        <f>IF(N57=0,"",INDEX(G$6:G$55,MATCH($N57,Список_предметы,0)))</f>
        <v>1</v>
      </c>
      <c r="P57" s="45"/>
      <c r="Q57" s="259"/>
      <c r="R57" s="244"/>
      <c r="S57" s="48"/>
    </row>
    <row r="58" spans="5:19" ht="12" customHeight="1">
      <c r="E58" s="43"/>
      <c r="F58" s="43"/>
      <c r="G58" s="43"/>
      <c r="H58" s="43"/>
      <c r="I58" s="252"/>
      <c r="J58" s="255"/>
      <c r="K58" s="43"/>
      <c r="L58" s="78">
        <v>53</v>
      </c>
      <c r="M58" s="138" t="s">
        <v>178</v>
      </c>
      <c r="N58" s="138" t="s">
        <v>44</v>
      </c>
      <c r="O58" s="40">
        <f>IF(N58=0,"",INDEX(G$6:G$55,MATCH($N58,Список_предметы,0)))</f>
        <v>1</v>
      </c>
      <c r="P58" s="45"/>
      <c r="Q58" s="259"/>
      <c r="R58" s="244"/>
      <c r="S58" s="48"/>
    </row>
    <row r="59" spans="5:19" ht="12" customHeight="1">
      <c r="E59" s="43"/>
      <c r="F59" s="43"/>
      <c r="G59" s="43"/>
      <c r="H59" s="43"/>
      <c r="I59" s="252"/>
      <c r="J59" s="255"/>
      <c r="K59" s="43"/>
      <c r="L59" s="78">
        <v>54</v>
      </c>
      <c r="M59" s="138" t="s">
        <v>179</v>
      </c>
      <c r="N59" s="138" t="s">
        <v>52</v>
      </c>
      <c r="O59" s="40">
        <f>IF(N59=0,"",INDEX(G$6:G$55,MATCH($N59,Список_предметы,0)))</f>
        <v>5</v>
      </c>
      <c r="P59" s="45"/>
      <c r="Q59" s="259"/>
      <c r="R59" s="244"/>
      <c r="S59" s="48"/>
    </row>
    <row r="60" spans="5:19" ht="12" customHeight="1">
      <c r="E60" s="43"/>
      <c r="F60" s="43"/>
      <c r="G60" s="43"/>
      <c r="H60" s="43"/>
      <c r="I60" s="252"/>
      <c r="J60" s="255"/>
      <c r="K60" s="43"/>
      <c r="L60" s="78">
        <v>55</v>
      </c>
      <c r="M60" s="138" t="s">
        <v>180</v>
      </c>
      <c r="N60" s="138" t="s">
        <v>47</v>
      </c>
      <c r="O60" s="40">
        <f>IF(N60=0,"",INDEX(G$6:G$55,MATCH($N60,Список_предметы,0)))</f>
        <v>3</v>
      </c>
      <c r="P60" s="45"/>
      <c r="Q60" s="259"/>
      <c r="R60" s="244"/>
      <c r="S60" s="48"/>
    </row>
    <row r="61" spans="5:19" ht="12" customHeight="1">
      <c r="E61" s="43"/>
      <c r="F61" s="43"/>
      <c r="G61" s="43"/>
      <c r="H61" s="43"/>
      <c r="I61" s="252"/>
      <c r="J61" s="255"/>
      <c r="K61" s="43"/>
      <c r="L61" s="79">
        <v>56</v>
      </c>
      <c r="M61" s="138" t="s">
        <v>180</v>
      </c>
      <c r="N61" s="138" t="s">
        <v>48</v>
      </c>
      <c r="O61" s="40">
        <f>IF(N61=0,"",INDEX(G$6:G$55,MATCH($N61,Список_предметы,0)))</f>
        <v>3</v>
      </c>
      <c r="P61" s="45"/>
      <c r="Q61" s="259"/>
      <c r="R61" s="244"/>
      <c r="S61" s="48"/>
    </row>
    <row r="62" spans="5:19" ht="12" customHeight="1">
      <c r="E62" s="43"/>
      <c r="F62" s="43"/>
      <c r="G62" s="43"/>
      <c r="H62" s="43"/>
      <c r="I62" s="252"/>
      <c r="J62" s="255"/>
      <c r="K62" s="43"/>
      <c r="L62" s="79">
        <v>57</v>
      </c>
      <c r="M62" s="58" t="s">
        <v>180</v>
      </c>
      <c r="N62" s="57" t="s">
        <v>46</v>
      </c>
      <c r="O62" s="40">
        <f>IF(N62=0,"",INDEX(G$6:G$55,MATCH($N62,Список_предметы,0)))</f>
        <v>3</v>
      </c>
      <c r="P62" s="45"/>
      <c r="Q62" s="259"/>
      <c r="R62" s="244"/>
      <c r="S62" s="48"/>
    </row>
    <row r="63" spans="5:19" ht="12" customHeight="1">
      <c r="E63" s="43"/>
      <c r="F63" s="43"/>
      <c r="G63" s="43"/>
      <c r="H63" s="43"/>
      <c r="I63" s="252"/>
      <c r="J63" s="255"/>
      <c r="K63" s="43"/>
      <c r="L63" s="79">
        <v>58</v>
      </c>
      <c r="M63" s="138" t="s">
        <v>181</v>
      </c>
      <c r="N63" s="138" t="s">
        <v>192</v>
      </c>
      <c r="O63" s="40">
        <f>IF(N63=0,"",INDEX(G$6:G$55,MATCH($N63,Список_предметы,0)))</f>
        <v>2</v>
      </c>
      <c r="P63" s="45"/>
      <c r="Q63" s="259"/>
      <c r="R63" s="244"/>
      <c r="S63" s="48"/>
    </row>
    <row r="64" spans="5:19" ht="12" customHeight="1">
      <c r="E64" s="43"/>
      <c r="F64" s="43"/>
      <c r="G64" s="43"/>
      <c r="H64" s="43"/>
      <c r="I64" s="252"/>
      <c r="J64" s="255"/>
      <c r="K64" s="43"/>
      <c r="L64" s="78">
        <v>59</v>
      </c>
      <c r="M64" s="138" t="s">
        <v>182</v>
      </c>
      <c r="N64" s="138" t="s">
        <v>54</v>
      </c>
      <c r="O64" s="40">
        <f>IF(N64=0,"",INDEX(G$6:G$55,MATCH($N64,Список_предметы,0)))</f>
        <v>6</v>
      </c>
      <c r="P64" s="45"/>
      <c r="Q64" s="259"/>
      <c r="R64" s="244"/>
      <c r="S64" s="48"/>
    </row>
    <row r="65" spans="5:19" ht="12" customHeight="1">
      <c r="E65" s="43"/>
      <c r="F65" s="43"/>
      <c r="G65" s="43"/>
      <c r="H65" s="43"/>
      <c r="I65" s="252"/>
      <c r="J65" s="255"/>
      <c r="K65" s="43"/>
      <c r="L65" s="78">
        <v>60</v>
      </c>
      <c r="M65" s="138" t="s">
        <v>183</v>
      </c>
      <c r="N65" s="138" t="s">
        <v>192</v>
      </c>
      <c r="O65" s="40">
        <f>IF(N65=0,"",INDEX(G$6:G$55,MATCH($N65,Список_предметы,0)))</f>
        <v>2</v>
      </c>
      <c r="P65" s="45"/>
      <c r="Q65" s="259"/>
      <c r="R65" s="244"/>
      <c r="S65" s="48"/>
    </row>
    <row r="66" spans="5:19" ht="12" customHeight="1">
      <c r="E66" s="43"/>
      <c r="F66" s="43"/>
      <c r="G66" s="43"/>
      <c r="H66" s="43"/>
      <c r="I66" s="252"/>
      <c r="J66" s="254"/>
      <c r="K66" s="43"/>
      <c r="L66" s="78">
        <v>61</v>
      </c>
      <c r="M66" s="138" t="s">
        <v>184</v>
      </c>
      <c r="N66" s="138" t="s">
        <v>79</v>
      </c>
      <c r="O66" s="40">
        <f>IF(N66=0,"",INDEX(G$6:G$55,MATCH($N66,Список_предметы,0)))</f>
        <v>9</v>
      </c>
      <c r="P66" s="45"/>
      <c r="Q66" s="50"/>
      <c r="R66" s="62"/>
      <c r="S66" s="48"/>
    </row>
    <row r="67" spans="5:19" ht="12" customHeight="1">
      <c r="E67" s="43"/>
      <c r="F67" s="43"/>
      <c r="G67" s="43"/>
      <c r="H67" s="43"/>
      <c r="I67" s="252"/>
      <c r="J67" s="253"/>
      <c r="K67" s="43"/>
      <c r="L67" s="78">
        <v>62</v>
      </c>
      <c r="M67" s="138" t="s">
        <v>184</v>
      </c>
      <c r="N67" s="138" t="s">
        <v>78</v>
      </c>
      <c r="O67" s="40">
        <f>IF(N67=0,"",INDEX(G$6:G$55,MATCH($N67,Список_предметы,0)))</f>
        <v>9</v>
      </c>
      <c r="P67" s="45"/>
      <c r="Q67" s="50"/>
      <c r="R67" s="62"/>
      <c r="S67" s="48"/>
    </row>
    <row r="68" spans="5:19" ht="12" customHeight="1">
      <c r="E68" s="43"/>
      <c r="F68" s="43"/>
      <c r="G68" s="43"/>
      <c r="H68" s="43"/>
      <c r="I68" s="252"/>
      <c r="J68" s="254"/>
      <c r="K68" s="43"/>
      <c r="L68" s="78">
        <v>63</v>
      </c>
      <c r="M68" s="138" t="s">
        <v>184</v>
      </c>
      <c r="N68" s="138" t="s">
        <v>81</v>
      </c>
      <c r="O68" s="40">
        <f>IF(N68=0,"",INDEX(G$6:G$55,MATCH($N68,Список_предметы,0)))</f>
        <v>9</v>
      </c>
      <c r="P68" s="45"/>
      <c r="Q68" s="50"/>
      <c r="R68" s="62"/>
      <c r="S68" s="48"/>
    </row>
    <row r="69" spans="5:19" ht="12" customHeight="1">
      <c r="E69" s="43"/>
      <c r="F69" s="43"/>
      <c r="G69" s="43"/>
      <c r="H69" s="43"/>
      <c r="I69" s="252"/>
      <c r="J69" s="254"/>
      <c r="K69" s="43"/>
      <c r="L69" s="78">
        <v>64</v>
      </c>
      <c r="M69" s="138" t="s">
        <v>185</v>
      </c>
      <c r="N69" s="138" t="s">
        <v>45</v>
      </c>
      <c r="O69" s="40">
        <f>IF(N69=0,"",INDEX(G$6:G$55,MATCH($N69,Список_предметы,0)))</f>
        <v>1</v>
      </c>
      <c r="P69" s="45"/>
      <c r="Q69" s="50"/>
      <c r="R69" s="63"/>
      <c r="S69" s="48"/>
    </row>
    <row r="70" spans="5:19" ht="12" customHeight="1">
      <c r="E70" s="43"/>
      <c r="F70" s="43"/>
      <c r="G70" s="43"/>
      <c r="H70" s="43"/>
      <c r="I70" s="252"/>
      <c r="J70" s="254"/>
      <c r="K70" s="43"/>
      <c r="L70" s="78">
        <v>65</v>
      </c>
      <c r="M70" s="138" t="s">
        <v>185</v>
      </c>
      <c r="N70" s="138" t="s">
        <v>39</v>
      </c>
      <c r="O70" s="40">
        <f>IF(N70=0,"",INDEX(G$6:G$55,MATCH($N70,Список_предметы,0)))</f>
        <v>6</v>
      </c>
      <c r="P70" s="45"/>
      <c r="Q70" s="50"/>
      <c r="R70" s="62"/>
      <c r="S70" s="48"/>
    </row>
    <row r="71" spans="5:19" ht="12" customHeight="1">
      <c r="E71" s="43"/>
      <c r="F71" s="43"/>
      <c r="G71" s="43"/>
      <c r="H71" s="43"/>
      <c r="I71" s="252"/>
      <c r="J71" s="254"/>
      <c r="K71" s="43"/>
      <c r="L71" s="78">
        <v>66</v>
      </c>
      <c r="M71" s="138" t="s">
        <v>185</v>
      </c>
      <c r="N71" s="138" t="s">
        <v>44</v>
      </c>
      <c r="O71" s="40">
        <f>IF(N71=0,"",INDEX(G$6:G$55,MATCH($N71,Список_предметы,0)))</f>
        <v>1</v>
      </c>
      <c r="P71" s="45"/>
      <c r="Q71" s="48"/>
      <c r="R71" s="62"/>
      <c r="S71" s="48"/>
    </row>
    <row r="72" spans="5:19" ht="12" customHeight="1">
      <c r="E72" s="43"/>
      <c r="F72" s="43"/>
      <c r="G72" s="43"/>
      <c r="H72" s="43"/>
      <c r="I72" s="252"/>
      <c r="J72" s="254"/>
      <c r="K72" s="43"/>
      <c r="L72" s="78">
        <v>67</v>
      </c>
      <c r="M72" s="138" t="s">
        <v>186</v>
      </c>
      <c r="N72" s="138" t="s">
        <v>79</v>
      </c>
      <c r="O72" s="40">
        <f>IF(N72=0,"",INDEX(G$6:G$55,MATCH($N72,Список_предметы,0)))</f>
        <v>9</v>
      </c>
      <c r="P72" s="45"/>
      <c r="Q72" s="48"/>
      <c r="R72" s="63"/>
      <c r="S72" s="48"/>
    </row>
    <row r="73" spans="5:19" ht="12" customHeight="1">
      <c r="E73" s="43"/>
      <c r="F73" s="43"/>
      <c r="G73" s="43"/>
      <c r="H73" s="43"/>
      <c r="I73" s="252"/>
      <c r="J73" s="254"/>
      <c r="K73" s="43"/>
      <c r="L73" s="78">
        <v>68</v>
      </c>
      <c r="M73" s="138" t="s">
        <v>186</v>
      </c>
      <c r="N73" s="139" t="s">
        <v>80</v>
      </c>
      <c r="O73" s="40">
        <f>IF(N73=0,"",INDEX(G$6:G$55,MATCH($N73,Список_предметы,0)))</f>
        <v>9</v>
      </c>
      <c r="P73" s="45"/>
      <c r="Q73" s="48"/>
      <c r="R73" s="62"/>
      <c r="S73" s="48"/>
    </row>
    <row r="74" spans="5:19" ht="12" customHeight="1">
      <c r="E74" s="43"/>
      <c r="F74" s="43"/>
      <c r="G74" s="43"/>
      <c r="H74" s="43"/>
      <c r="I74" s="252"/>
      <c r="J74" s="254"/>
      <c r="K74" s="43"/>
      <c r="L74" s="79">
        <v>69</v>
      </c>
      <c r="M74" s="138" t="s">
        <v>186</v>
      </c>
      <c r="N74" s="138" t="s">
        <v>78</v>
      </c>
      <c r="O74" s="40">
        <f>IF(N74=0,"",INDEX(G$6:G$55,MATCH($N74,Список_предметы,0)))</f>
        <v>9</v>
      </c>
      <c r="P74" s="45"/>
      <c r="Q74" s="48"/>
      <c r="R74" s="62"/>
      <c r="S74" s="48"/>
    </row>
    <row r="75" spans="5:19" ht="12" customHeight="1">
      <c r="E75" s="43"/>
      <c r="F75" s="43"/>
      <c r="G75" s="43"/>
      <c r="H75" s="43"/>
      <c r="I75" s="252"/>
      <c r="J75" s="254"/>
      <c r="K75" s="43"/>
      <c r="L75" s="78">
        <v>70</v>
      </c>
      <c r="M75" s="138" t="s">
        <v>186</v>
      </c>
      <c r="N75" s="138" t="s">
        <v>81</v>
      </c>
      <c r="O75" s="40">
        <f>IF(N75=0,"",INDEX(G$6:G$55,MATCH($N75,Список_предметы,0)))</f>
        <v>9</v>
      </c>
      <c r="P75" s="45"/>
      <c r="Q75" s="48"/>
      <c r="R75" s="62"/>
      <c r="S75" s="48"/>
    </row>
    <row r="76" spans="5:19" ht="12" customHeight="1">
      <c r="E76" s="43"/>
      <c r="F76" s="43"/>
      <c r="G76" s="43"/>
      <c r="H76" s="43"/>
      <c r="I76" s="252"/>
      <c r="J76" s="254"/>
      <c r="K76" s="43"/>
      <c r="L76" s="78">
        <v>71</v>
      </c>
      <c r="M76" s="138" t="s">
        <v>187</v>
      </c>
      <c r="N76" s="138" t="s">
        <v>47</v>
      </c>
      <c r="O76" s="40">
        <f>IF(N76=0,"",INDEX(G$6:G$55,MATCH($N76,Список_предметы,0)))</f>
        <v>3</v>
      </c>
      <c r="P76" s="45"/>
      <c r="Q76" s="48"/>
      <c r="R76" s="62"/>
      <c r="S76" s="48"/>
    </row>
    <row r="77" spans="5:19" ht="12" customHeight="1">
      <c r="E77" s="43"/>
      <c r="F77" s="43"/>
      <c r="G77" s="43"/>
      <c r="H77" s="43"/>
      <c r="I77" s="252"/>
      <c r="J77" s="254"/>
      <c r="K77" s="43"/>
      <c r="L77" s="78">
        <v>72</v>
      </c>
      <c r="M77" s="58" t="s">
        <v>187</v>
      </c>
      <c r="N77" s="57" t="s">
        <v>46</v>
      </c>
      <c r="O77" s="40">
        <f>IF(N77=0,"",INDEX(G$6:G$55,MATCH($N77,Список_предметы,0)))</f>
        <v>3</v>
      </c>
      <c r="P77" s="45"/>
      <c r="Q77" s="48"/>
      <c r="R77" s="62"/>
      <c r="S77" s="48"/>
    </row>
    <row r="78" spans="5:19" ht="12" customHeight="1">
      <c r="E78" s="43"/>
      <c r="F78" s="43"/>
      <c r="G78" s="43"/>
      <c r="H78" s="43"/>
      <c r="I78" s="252"/>
      <c r="J78" s="254"/>
      <c r="K78" s="43"/>
      <c r="L78" s="78">
        <v>73</v>
      </c>
      <c r="M78" s="138" t="s">
        <v>188</v>
      </c>
      <c r="N78" s="138" t="s">
        <v>192</v>
      </c>
      <c r="O78" s="40">
        <f>IF(N78=0,"",INDEX(G$6:G$55,MATCH($N78,Список_предметы,0)))</f>
        <v>2</v>
      </c>
      <c r="P78" s="45"/>
      <c r="Q78" s="48"/>
      <c r="R78" s="62"/>
      <c r="S78" s="48"/>
    </row>
    <row r="79" spans="5:19" ht="12" customHeight="1">
      <c r="E79" s="43"/>
      <c r="F79" s="43"/>
      <c r="G79" s="43"/>
      <c r="H79" s="43"/>
      <c r="I79" s="252"/>
      <c r="J79" s="254"/>
      <c r="K79" s="43"/>
      <c r="L79" s="78">
        <v>74</v>
      </c>
      <c r="M79" s="138" t="s">
        <v>190</v>
      </c>
      <c r="N79" s="138" t="s">
        <v>79</v>
      </c>
      <c r="O79" s="40">
        <f>IF(N79=0,"",INDEX(G$6:G$55,MATCH($N79,Список_предметы,0)))</f>
        <v>9</v>
      </c>
      <c r="P79" s="45"/>
      <c r="Q79" s="48"/>
      <c r="R79" s="62"/>
      <c r="S79" s="48"/>
    </row>
    <row r="80" spans="5:19" ht="12" customHeight="1">
      <c r="E80" s="43"/>
      <c r="F80" s="43"/>
      <c r="G80" s="43"/>
      <c r="H80" s="43"/>
      <c r="I80" s="252"/>
      <c r="J80" s="254"/>
      <c r="K80" s="43"/>
      <c r="L80" s="78">
        <v>75</v>
      </c>
      <c r="M80" s="138" t="s">
        <v>190</v>
      </c>
      <c r="N80" s="138" t="s">
        <v>80</v>
      </c>
      <c r="O80" s="40">
        <f>IF(N80=0,"",INDEX(G$6:G$55,MATCH($N80,Список_предметы,0)))</f>
        <v>9</v>
      </c>
      <c r="P80" s="45"/>
      <c r="Q80" s="48"/>
      <c r="R80" s="62"/>
      <c r="S80" s="48"/>
    </row>
    <row r="81" spans="5:19" ht="12" customHeight="1">
      <c r="E81" s="43"/>
      <c r="F81" s="43"/>
      <c r="G81" s="43"/>
      <c r="H81" s="43"/>
      <c r="I81" s="252"/>
      <c r="J81" s="254"/>
      <c r="K81" s="43"/>
      <c r="L81" s="78">
        <v>76</v>
      </c>
      <c r="M81" s="138" t="s">
        <v>190</v>
      </c>
      <c r="N81" s="138" t="s">
        <v>78</v>
      </c>
      <c r="O81" s="40">
        <f>IF(N81=0,"",INDEX(G$6:G$55,MATCH($N81,Список_предметы,0)))</f>
        <v>9</v>
      </c>
      <c r="P81" s="45"/>
      <c r="Q81" s="48"/>
      <c r="R81" s="62"/>
      <c r="S81" s="48"/>
    </row>
    <row r="82" spans="5:19" ht="12" customHeight="1">
      <c r="E82" s="43"/>
      <c r="F82" s="43"/>
      <c r="G82" s="43"/>
      <c r="H82" s="43"/>
      <c r="I82" s="252"/>
      <c r="J82" s="254"/>
      <c r="K82" s="43"/>
      <c r="L82" s="78">
        <v>77</v>
      </c>
      <c r="M82" s="138" t="s">
        <v>190</v>
      </c>
      <c r="N82" s="138" t="s">
        <v>81</v>
      </c>
      <c r="O82" s="40">
        <f>IF(N82=0,"",INDEX(G$6:G$55,MATCH($N82,Список_предметы,0)))</f>
        <v>9</v>
      </c>
      <c r="P82" s="45"/>
      <c r="Q82" s="48"/>
      <c r="R82" s="62"/>
      <c r="S82" s="48"/>
    </row>
    <row r="83" spans="5:19" ht="12" customHeight="1">
      <c r="E83" s="43"/>
      <c r="F83" s="43"/>
      <c r="G83" s="43"/>
      <c r="H83" s="43"/>
      <c r="I83" s="252"/>
      <c r="J83" s="253"/>
      <c r="K83" s="43"/>
      <c r="L83" s="78">
        <v>78</v>
      </c>
      <c r="M83" s="138" t="s">
        <v>191</v>
      </c>
      <c r="N83" s="138" t="s">
        <v>53</v>
      </c>
      <c r="O83" s="40">
        <f>IF(N83=0,"",INDEX(G$6:G$55,MATCH($N83,Список_предметы,0)))</f>
        <v>4</v>
      </c>
      <c r="P83" s="45"/>
      <c r="Q83" s="48"/>
      <c r="R83" s="56"/>
      <c r="S83" s="48"/>
    </row>
    <row r="84" spans="5:19" ht="12" customHeight="1">
      <c r="E84" s="43"/>
      <c r="F84" s="43"/>
      <c r="G84" s="43"/>
      <c r="H84" s="43"/>
      <c r="I84" s="252"/>
      <c r="J84" s="254"/>
      <c r="K84" s="43"/>
      <c r="L84" s="78">
        <v>79</v>
      </c>
      <c r="M84" s="138" t="s">
        <v>191</v>
      </c>
      <c r="N84" s="138" t="s">
        <v>55</v>
      </c>
      <c r="O84" s="40">
        <f>IF(N84=0,"",INDEX(G$6:G$55,MATCH($N84,Список_предметы,0)))</f>
        <v>4</v>
      </c>
      <c r="P84" s="45"/>
      <c r="Q84" s="48"/>
      <c r="R84" s="48"/>
      <c r="S84" s="48"/>
    </row>
    <row r="85" spans="5:19" ht="12" customHeight="1">
      <c r="E85" s="43"/>
      <c r="F85" s="43"/>
      <c r="G85" s="43"/>
      <c r="H85" s="43"/>
      <c r="I85" s="252"/>
      <c r="J85" s="254"/>
      <c r="K85" s="43"/>
      <c r="L85" s="79">
        <v>80</v>
      </c>
      <c r="M85" s="57"/>
      <c r="N85" s="57"/>
      <c r="O85" s="40" t="str">
        <f>IF(N85=0,"",INDEX(G$6:G$55,MATCH($N85,Список_предметы,0)))</f>
        <v/>
      </c>
      <c r="P85" s="45"/>
      <c r="Q85" s="48"/>
      <c r="R85" s="48"/>
      <c r="S85" s="48"/>
    </row>
  </sheetData>
  <sheetProtection sheet="1" objects="1" scenarios="1" formatCells="0" formatColumns="0" formatRows="0" sort="0" autoFilter="0"/>
  <autoFilter ref="L5:O85"/>
  <sortState ref="M6:N98">
    <sortCondition ref="M6:M98"/>
  </sortState>
  <mergeCells count="17">
    <mergeCell ref="E4:E5"/>
    <mergeCell ref="B1:R1"/>
    <mergeCell ref="Q4:Q5"/>
    <mergeCell ref="R4:R5"/>
    <mergeCell ref="Q3:R3"/>
    <mergeCell ref="J4:J5"/>
    <mergeCell ref="I4:I5"/>
    <mergeCell ref="E2:F2"/>
    <mergeCell ref="L2:M2"/>
    <mergeCell ref="B3:C3"/>
    <mergeCell ref="E3:G3"/>
    <mergeCell ref="I3:J3"/>
    <mergeCell ref="L3:O3"/>
    <mergeCell ref="C4:C5"/>
    <mergeCell ref="B4:B5"/>
    <mergeCell ref="G4:G5"/>
    <mergeCell ref="F4:F5"/>
  </mergeCells>
  <phoneticPr fontId="0" type="noConversion"/>
  <conditionalFormatting sqref="O6:P85">
    <cfRule type="cellIs" dxfId="64" priority="2" operator="greaterThan">
      <formula>0</formula>
    </cfRule>
  </conditionalFormatting>
  <dataValidations count="2">
    <dataValidation type="list" allowBlank="1" showInputMessage="1" showErrorMessage="1" sqref="N6:N85">
      <formula1>Список!$F$6:$F$55</formula1>
    </dataValidation>
    <dataValidation type="list" allowBlank="1" showInputMessage="1" showErrorMessage="1" sqref="M6:M85">
      <formula1>Список!$J$6:$J$130</formula1>
    </dataValidation>
  </dataValidations>
  <pageMargins left="0.19685039370078741" right="0.15748031496062992" top="0.23622047244094491" bottom="0.19685039370078741" header="0.19685039370078741" footer="0.15748031496062992"/>
  <pageSetup paperSize="9" scale="95" orientation="landscape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27"/>
  <dimension ref="A1:V159"/>
  <sheetViews>
    <sheetView showGridLines="0" showRowColHeaders="0" workbookViewId="0">
      <pane ySplit="5" topLeftCell="A6" activePane="bottomLeft" state="frozen"/>
      <selection pane="bottomLeft" activeCell="A5" sqref="A5"/>
    </sheetView>
  </sheetViews>
  <sheetFormatPr defaultRowHeight="12.75"/>
  <cols>
    <col min="1" max="1" width="5.5" style="1" customWidth="1"/>
    <col min="2" max="2" width="5.33203125" style="4" customWidth="1"/>
    <col min="3" max="3" width="18.33203125" style="64" customWidth="1"/>
    <col min="4" max="4" width="20.5" style="65" customWidth="1"/>
    <col min="5" max="5" width="10.5" style="3" customWidth="1"/>
    <col min="6" max="7" width="6.6640625" style="3" customWidth="1"/>
    <col min="8" max="12" width="5.33203125" style="3" customWidth="1"/>
    <col min="13" max="13" width="4.5" style="3" customWidth="1"/>
    <col min="14" max="14" width="0.33203125" style="3" customWidth="1"/>
    <col min="15" max="15" width="6.1640625" style="3" customWidth="1"/>
    <col min="16" max="16" width="9.33203125" style="3"/>
    <col min="17" max="17" width="9.83203125" style="3" customWidth="1"/>
    <col min="18" max="18" width="9" style="3" customWidth="1"/>
    <col min="19" max="19" width="9.83203125" style="3" customWidth="1"/>
    <col min="20" max="20" width="13" style="1" customWidth="1"/>
    <col min="21" max="21" width="0" style="128" hidden="1" customWidth="1"/>
    <col min="22" max="16384" width="9.33203125" style="1"/>
  </cols>
  <sheetData>
    <row r="1" spans="1:22" ht="45.75" customHeight="1">
      <c r="A1" s="202" t="str">
        <f>(Titul!B3)</f>
        <v>Муниципальное бюджетное общеобразовательное учреждение:                                                                                                                                                               средняя общеобразовательная школа №123                                                                                                                                                                                    Центрального р-на г.Ростова-на-Дону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</row>
    <row r="2" spans="1:22" s="5" customFormat="1" ht="15.75" customHeight="1">
      <c r="A2" s="147" t="s">
        <v>72</v>
      </c>
      <c r="B2" s="4"/>
      <c r="C2" s="184" t="str">
        <f>Titul!D5</f>
        <v>2011/12 учебный год</v>
      </c>
      <c r="D2" s="184"/>
      <c r="E2" s="146"/>
      <c r="F2" s="4"/>
      <c r="G2" s="59"/>
      <c r="H2" s="4"/>
      <c r="I2" s="4"/>
      <c r="J2" s="4"/>
      <c r="K2" s="4"/>
      <c r="L2" s="4"/>
      <c r="M2" s="4"/>
      <c r="N2" s="59"/>
      <c r="O2" s="4"/>
      <c r="P2" s="184" t="str">
        <f>Titul!D7</f>
        <v>1 четверть</v>
      </c>
      <c r="Q2" s="184"/>
      <c r="R2" s="184"/>
      <c r="S2" s="184"/>
      <c r="U2" s="148"/>
    </row>
    <row r="3" spans="1:22" ht="13.5" customHeight="1">
      <c r="A3" s="185" t="s">
        <v>18</v>
      </c>
      <c r="B3" s="198" t="s">
        <v>42</v>
      </c>
      <c r="C3" s="180" t="s">
        <v>5</v>
      </c>
      <c r="D3" s="180" t="s">
        <v>6</v>
      </c>
      <c r="E3" s="180" t="s">
        <v>145</v>
      </c>
      <c r="F3" s="187" t="s">
        <v>7</v>
      </c>
      <c r="G3" s="191" t="s">
        <v>29</v>
      </c>
      <c r="H3" s="193" t="s">
        <v>17</v>
      </c>
      <c r="I3" s="193"/>
      <c r="J3" s="193"/>
      <c r="K3" s="193"/>
      <c r="L3" s="189" t="s">
        <v>13</v>
      </c>
      <c r="M3" s="191" t="s">
        <v>14</v>
      </c>
      <c r="N3" s="200"/>
      <c r="O3" s="196" t="s">
        <v>28</v>
      </c>
      <c r="P3" s="180" t="s">
        <v>15</v>
      </c>
      <c r="Q3" s="180" t="s">
        <v>16</v>
      </c>
      <c r="R3" s="180" t="s">
        <v>21</v>
      </c>
      <c r="S3" s="194" t="s">
        <v>27</v>
      </c>
      <c r="T3" s="178" t="s">
        <v>144</v>
      </c>
    </row>
    <row r="4" spans="1:22" s="7" customFormat="1" ht="24" customHeight="1">
      <c r="A4" s="186"/>
      <c r="B4" s="199"/>
      <c r="C4" s="181"/>
      <c r="D4" s="181"/>
      <c r="E4" s="181"/>
      <c r="F4" s="188"/>
      <c r="G4" s="192"/>
      <c r="H4" s="89" t="s">
        <v>9</v>
      </c>
      <c r="I4" s="89" t="s">
        <v>10</v>
      </c>
      <c r="J4" s="89" t="s">
        <v>11</v>
      </c>
      <c r="K4" s="89" t="s">
        <v>12</v>
      </c>
      <c r="L4" s="190"/>
      <c r="M4" s="192"/>
      <c r="N4" s="201"/>
      <c r="O4" s="197"/>
      <c r="P4" s="181"/>
      <c r="Q4" s="181"/>
      <c r="R4" s="181"/>
      <c r="S4" s="195"/>
      <c r="T4" s="179"/>
      <c r="U4" s="129"/>
    </row>
    <row r="5" spans="1:22" s="3" customFormat="1" ht="11.25" customHeight="1">
      <c r="A5" s="23"/>
      <c r="B5" s="55"/>
      <c r="C5" s="24"/>
      <c r="D5" s="25"/>
      <c r="E5" s="25"/>
      <c r="F5" s="26"/>
      <c r="G5" s="88"/>
      <c r="H5" s="26"/>
      <c r="I5" s="26"/>
      <c r="J5" s="26"/>
      <c r="K5" s="26"/>
      <c r="L5" s="26"/>
      <c r="M5" s="182"/>
      <c r="N5" s="183"/>
      <c r="O5" s="23"/>
      <c r="P5" s="26"/>
      <c r="Q5" s="26"/>
      <c r="R5" s="26"/>
      <c r="S5" s="88"/>
      <c r="T5" s="91"/>
      <c r="U5" s="130"/>
    </row>
    <row r="6" spans="1:22" ht="12" customHeight="1">
      <c r="A6" s="51">
        <v>51</v>
      </c>
      <c r="B6" s="54">
        <f>IF($A6=0,"",INDEX(Список!O$6:O$85,$A6))</f>
        <v>5</v>
      </c>
      <c r="C6" s="53" t="str">
        <f>IF(A6=0,"",INDEX(Список!M$6:M$85,A6))</f>
        <v>Палиева А. И.</v>
      </c>
      <c r="D6" s="53" t="str">
        <f>IF(A6=0,"",INDEX(Список!N$6:N$85,A6))</f>
        <v>Биология</v>
      </c>
      <c r="E6" s="54">
        <f>VLOOKUP(D6,ШкалаТрудн!$C$5:$N$36,LEFT(F6,2)+1,0)</f>
        <v>7</v>
      </c>
      <c r="F6" s="27" t="s">
        <v>138</v>
      </c>
      <c r="G6" s="28">
        <v>29</v>
      </c>
      <c r="H6" s="143">
        <v>9</v>
      </c>
      <c r="I6" s="143">
        <v>15</v>
      </c>
      <c r="J6" s="143">
        <v>5</v>
      </c>
      <c r="K6" s="143"/>
      <c r="L6" s="143"/>
      <c r="M6" s="144"/>
      <c r="N6" s="29" t="b">
        <f t="shared" ref="N6:N33" si="0">G6=M6+L6+K6+J6+I6+H6</f>
        <v>1</v>
      </c>
      <c r="O6" s="31">
        <f t="shared" ref="O6:O32" si="1">(5*H6+4*I6+3*J6+2*K6)/(G6-M6)</f>
        <v>4.1379310344827589</v>
      </c>
      <c r="P6" s="32">
        <f t="shared" ref="P6:P32" si="2">(SUM(H6:J6)/(G6-M6))</f>
        <v>1</v>
      </c>
      <c r="Q6" s="32">
        <f t="shared" ref="Q6:Q32" si="3">(SUM(H6:I6)/(G6-M6))</f>
        <v>0.82758620689655171</v>
      </c>
      <c r="R6" s="32">
        <f t="shared" ref="R6:R32" si="4">(H6+I6*0.64+J6*0.36+K6*0.16)/(G6-M6)</f>
        <v>0.70344827586206904</v>
      </c>
      <c r="S6" s="33">
        <f t="shared" ref="S6:S32" si="5">(5*H6+4*I6)/((G6-M6)*5)</f>
        <v>0.72413793103448276</v>
      </c>
      <c r="T6" s="90">
        <f t="shared" ref="T6:T33" si="6">(O6+E6)-0.2*(K6+L6)</f>
        <v>11.137931034482758</v>
      </c>
      <c r="U6" s="130">
        <f>IF($C6=0,"",INDEX(Список!I$6:I$85,MATCH($C6,Список_учителя,0)))</f>
        <v>29</v>
      </c>
      <c r="V6" s="145"/>
    </row>
    <row r="7" spans="1:22" ht="12" customHeight="1">
      <c r="A7" s="51">
        <v>48</v>
      </c>
      <c r="B7" s="54">
        <f>IF($A7=0,"",INDEX(Список!O$6:O$85,$A7))</f>
        <v>3</v>
      </c>
      <c r="C7" s="53" t="str">
        <f>IF(A7=0,"",INDEX(Список!M$6:M$85,A7))</f>
        <v>Новикова А. Р.</v>
      </c>
      <c r="D7" s="53" t="str">
        <f>IF(A7=0,"",INDEX(Список!N$6:N$85,A7))</f>
        <v>Математика</v>
      </c>
      <c r="E7" s="54">
        <f>VLOOKUP(D7,ШкалаТрудн!$C$5:$N$36,LEFT(F7,2)+1,0)</f>
        <v>0</v>
      </c>
      <c r="F7" s="27" t="s">
        <v>97</v>
      </c>
      <c r="G7" s="30">
        <v>29</v>
      </c>
      <c r="H7" s="143">
        <v>10</v>
      </c>
      <c r="I7" s="143">
        <v>17</v>
      </c>
      <c r="J7" s="143">
        <v>2</v>
      </c>
      <c r="K7" s="143"/>
      <c r="L7" s="143"/>
      <c r="M7" s="144"/>
      <c r="N7" s="29" t="b">
        <f t="shared" si="0"/>
        <v>1</v>
      </c>
      <c r="O7" s="31">
        <f t="shared" si="1"/>
        <v>4.2758620689655169</v>
      </c>
      <c r="P7" s="32">
        <f t="shared" si="2"/>
        <v>1</v>
      </c>
      <c r="Q7" s="32">
        <f t="shared" si="3"/>
        <v>0.93103448275862066</v>
      </c>
      <c r="R7" s="32">
        <f t="shared" si="4"/>
        <v>0.7448275862068966</v>
      </c>
      <c r="S7" s="33">
        <f t="shared" si="5"/>
        <v>0.81379310344827582</v>
      </c>
      <c r="T7" s="90">
        <f t="shared" si="6"/>
        <v>4.2758620689655169</v>
      </c>
      <c r="U7" s="130">
        <f>IF($C7=0,"",INDEX(Список!I$6:I$85,MATCH($C7,Список_учителя,0)))</f>
        <v>26</v>
      </c>
      <c r="V7" s="145"/>
    </row>
    <row r="8" spans="1:22" ht="12" customHeight="1">
      <c r="A8" s="51">
        <v>49</v>
      </c>
      <c r="B8" s="54">
        <f>IF($A8=0,"",INDEX(Список!O$6:O$85,$A8))</f>
        <v>6</v>
      </c>
      <c r="C8" s="53" t="str">
        <f>IF(A8=0,"",INDEX(Список!M$6:M$85,A8))</f>
        <v>Олейникова  И. Ю.</v>
      </c>
      <c r="D8" s="53" t="str">
        <f>IF(A8=0,"",INDEX(Список!N$6:N$85,A8))</f>
        <v>Музыка</v>
      </c>
      <c r="E8" s="54">
        <f>VLOOKUP(D8,ШкалаТрудн!$C$5:$N$36,LEFT(F8,2)+1,0)</f>
        <v>3</v>
      </c>
      <c r="F8" s="27" t="s">
        <v>97</v>
      </c>
      <c r="G8" s="30">
        <v>29</v>
      </c>
      <c r="H8" s="143">
        <v>12</v>
      </c>
      <c r="I8" s="143">
        <v>14</v>
      </c>
      <c r="J8" s="143">
        <v>3</v>
      </c>
      <c r="K8" s="143"/>
      <c r="L8" s="143"/>
      <c r="M8" s="144"/>
      <c r="N8" s="29" t="b">
        <f t="shared" si="0"/>
        <v>1</v>
      </c>
      <c r="O8" s="31">
        <f t="shared" si="1"/>
        <v>4.3103448275862073</v>
      </c>
      <c r="P8" s="32">
        <f t="shared" si="2"/>
        <v>1</v>
      </c>
      <c r="Q8" s="32">
        <f t="shared" si="3"/>
        <v>0.89655172413793105</v>
      </c>
      <c r="R8" s="32">
        <f t="shared" si="4"/>
        <v>0.76</v>
      </c>
      <c r="S8" s="33">
        <f t="shared" si="5"/>
        <v>0.8</v>
      </c>
      <c r="T8" s="90">
        <f t="shared" si="6"/>
        <v>7.3103448275862073</v>
      </c>
      <c r="U8" s="130">
        <f>IF($C8=0,"",INDEX(Список!I$6:I$85,MATCH($C8,Список_учителя,0)))</f>
        <v>27</v>
      </c>
      <c r="V8" s="145"/>
    </row>
    <row r="9" spans="1:22" ht="12" customHeight="1">
      <c r="A9" s="51">
        <v>50</v>
      </c>
      <c r="B9" s="54">
        <f>IF($A9=0,"",INDEX(Список!O$6:O$85,$A9))</f>
        <v>3</v>
      </c>
      <c r="C9" s="53" t="str">
        <f>IF(A9=0,"",INDEX(Список!M$6:M$85,A9))</f>
        <v>Павлющик О.И.</v>
      </c>
      <c r="D9" s="53" t="str">
        <f>IF(A9=0,"",INDEX(Список!N$6:N$85,A9))</f>
        <v>Информатика</v>
      </c>
      <c r="E9" s="54">
        <f>VLOOKUP(D9,ШкалаТрудн!$C$5:$N$36,LEFT(F9,2)+1,0)</f>
        <v>6</v>
      </c>
      <c r="F9" s="27" t="s">
        <v>97</v>
      </c>
      <c r="G9" s="30">
        <v>29</v>
      </c>
      <c r="H9" s="143">
        <v>23</v>
      </c>
      <c r="I9" s="143">
        <v>6</v>
      </c>
      <c r="J9" s="143"/>
      <c r="K9" s="143"/>
      <c r="L9" s="143"/>
      <c r="M9" s="144"/>
      <c r="N9" s="29" t="b">
        <f t="shared" si="0"/>
        <v>1</v>
      </c>
      <c r="O9" s="31">
        <f t="shared" si="1"/>
        <v>4.7931034482758621</v>
      </c>
      <c r="P9" s="32">
        <f t="shared" si="2"/>
        <v>1</v>
      </c>
      <c r="Q9" s="32">
        <f t="shared" si="3"/>
        <v>1</v>
      </c>
      <c r="R9" s="32">
        <f t="shared" si="4"/>
        <v>0.92551724137931035</v>
      </c>
      <c r="S9" s="33">
        <f t="shared" si="5"/>
        <v>0.95862068965517244</v>
      </c>
      <c r="T9" s="90">
        <f t="shared" si="6"/>
        <v>10.793103448275861</v>
      </c>
      <c r="U9" s="130">
        <f>IF($C9=0,"",INDEX(Список!I$6:I$85,MATCH($C9,Список_учителя,0)))</f>
        <v>28</v>
      </c>
      <c r="V9" s="145"/>
    </row>
    <row r="10" spans="1:22" ht="12" customHeight="1">
      <c r="A10" s="51">
        <v>79</v>
      </c>
      <c r="B10" s="54">
        <f>IF($A10=0,"",INDEX(Список!O$6:O$85,$A10))</f>
        <v>4</v>
      </c>
      <c r="C10" s="53" t="str">
        <f>IF(A10=0,"",INDEX(Список!M$6:M$85,A10))</f>
        <v>Ящук Е. Ю.</v>
      </c>
      <c r="D10" s="53" t="str">
        <f>IF(A10=0,"",INDEX(Список!N$6:N$85,A10))</f>
        <v>Обществознание</v>
      </c>
      <c r="E10" s="54">
        <f>VLOOKUP(D10,ШкалаТрудн!$C$5:$N$36,LEFT(F10,2)+1,0)</f>
        <v>0</v>
      </c>
      <c r="F10" s="27" t="s">
        <v>99</v>
      </c>
      <c r="G10" s="30">
        <v>30</v>
      </c>
      <c r="H10" s="143">
        <v>26</v>
      </c>
      <c r="I10" s="143">
        <v>4</v>
      </c>
      <c r="J10" s="143"/>
      <c r="K10" s="143"/>
      <c r="L10" s="143"/>
      <c r="M10" s="144"/>
      <c r="N10" s="29" t="b">
        <f t="shared" si="0"/>
        <v>1</v>
      </c>
      <c r="O10" s="31">
        <f t="shared" si="1"/>
        <v>4.8666666666666663</v>
      </c>
      <c r="P10" s="32">
        <f t="shared" si="2"/>
        <v>1</v>
      </c>
      <c r="Q10" s="32">
        <f t="shared" si="3"/>
        <v>1</v>
      </c>
      <c r="R10" s="32">
        <f t="shared" si="4"/>
        <v>0.95199999999999996</v>
      </c>
      <c r="S10" s="33">
        <f t="shared" si="5"/>
        <v>0.97333333333333338</v>
      </c>
      <c r="T10" s="90">
        <f t="shared" si="6"/>
        <v>4.8666666666666663</v>
      </c>
      <c r="U10" s="130">
        <f>IF($C10=0,"",INDEX(Список!I$6:I$85,MATCH($C10,Список_учителя,0)))</f>
        <v>43</v>
      </c>
      <c r="V10" s="145"/>
    </row>
    <row r="11" spans="1:22" ht="12" customHeight="1">
      <c r="A11" s="51">
        <v>44</v>
      </c>
      <c r="B11" s="54">
        <f>IF($A11=0,"",INDEX(Список!O$6:O$85,$A11))</f>
        <v>9</v>
      </c>
      <c r="C11" s="53" t="str">
        <f>IF(A11=0,"",INDEX(Список!M$6:M$85,A11))</f>
        <v>Нагорная Н. П.</v>
      </c>
      <c r="D11" s="53" t="str">
        <f>IF(A11=0,"",INDEX(Список!N$6:N$85,A11))</f>
        <v>Математика НШ</v>
      </c>
      <c r="E11" s="54">
        <f>VLOOKUP(D11,ШкалаТрудн!$C$5:$N$36,LEFT(F11,2)+1,0)</f>
        <v>8</v>
      </c>
      <c r="F11" s="27" t="s">
        <v>101</v>
      </c>
      <c r="G11" s="30">
        <v>31</v>
      </c>
      <c r="H11" s="143">
        <v>1</v>
      </c>
      <c r="I11" s="143">
        <v>22</v>
      </c>
      <c r="J11" s="143">
        <v>8</v>
      </c>
      <c r="K11" s="142"/>
      <c r="L11" s="143"/>
      <c r="M11" s="144"/>
      <c r="N11" s="29" t="b">
        <f t="shared" si="0"/>
        <v>1</v>
      </c>
      <c r="O11" s="31">
        <f t="shared" si="1"/>
        <v>3.774193548387097</v>
      </c>
      <c r="P11" s="32">
        <f t="shared" si="2"/>
        <v>1</v>
      </c>
      <c r="Q11" s="32">
        <f t="shared" si="3"/>
        <v>0.74193548387096775</v>
      </c>
      <c r="R11" s="32">
        <f t="shared" si="4"/>
        <v>0.57935483870967741</v>
      </c>
      <c r="S11" s="33">
        <f t="shared" si="5"/>
        <v>0.6</v>
      </c>
      <c r="T11" s="90">
        <f t="shared" si="6"/>
        <v>11.774193548387096</v>
      </c>
      <c r="U11" s="130">
        <f>IF($C11=0,"",INDEX(Список!I$6:I$85,MATCH($C11,Список_учителя,0)))</f>
        <v>23</v>
      </c>
      <c r="V11" s="145"/>
    </row>
    <row r="12" spans="1:22" ht="12" customHeight="1">
      <c r="A12" s="51">
        <v>41</v>
      </c>
      <c r="B12" s="54">
        <f>IF($A12=0,"",INDEX(Список!O$6:O$85,$A12))</f>
        <v>5</v>
      </c>
      <c r="C12" s="53" t="str">
        <f>IF(A12=0,"",INDEX(Список!M$6:M$85,A12))</f>
        <v>Мельникова Л. Н.</v>
      </c>
      <c r="D12" s="53" t="str">
        <f>IF(A12=0,"",INDEX(Список!N$6:N$85,A12))</f>
        <v>Биология</v>
      </c>
      <c r="E12" s="54">
        <f>VLOOKUP(D12,ШкалаТрудн!$C$5:$N$36,LEFT(F12,2)+1,0)</f>
        <v>7</v>
      </c>
      <c r="F12" s="27" t="s">
        <v>127</v>
      </c>
      <c r="G12" s="30">
        <v>31</v>
      </c>
      <c r="H12" s="143">
        <v>18</v>
      </c>
      <c r="I12" s="143">
        <v>12</v>
      </c>
      <c r="J12" s="143">
        <v>1</v>
      </c>
      <c r="K12" s="143"/>
      <c r="L12" s="143"/>
      <c r="M12" s="144"/>
      <c r="N12" s="29" t="b">
        <f t="shared" si="0"/>
        <v>1</v>
      </c>
      <c r="O12" s="31">
        <f t="shared" si="1"/>
        <v>4.5483870967741939</v>
      </c>
      <c r="P12" s="32">
        <f t="shared" si="2"/>
        <v>1</v>
      </c>
      <c r="Q12" s="32">
        <f t="shared" si="3"/>
        <v>0.967741935483871</v>
      </c>
      <c r="R12" s="32">
        <f t="shared" si="4"/>
        <v>0.84</v>
      </c>
      <c r="S12" s="33">
        <f t="shared" si="5"/>
        <v>0.89032258064516134</v>
      </c>
      <c r="T12" s="90">
        <f t="shared" si="6"/>
        <v>11.548387096774194</v>
      </c>
      <c r="U12" s="130">
        <f>IF($C12=0,"",INDEX(Список!I$6:I$85,MATCH($C12,Список_учителя,0)))</f>
        <v>22</v>
      </c>
      <c r="V12" s="145"/>
    </row>
    <row r="13" spans="1:22" ht="12" customHeight="1">
      <c r="A13" s="51">
        <v>42</v>
      </c>
      <c r="B13" s="54">
        <f>IF($A13=0,"",INDEX(Список!O$6:O$85,$A13))</f>
        <v>5</v>
      </c>
      <c r="C13" s="53" t="str">
        <f>IF(A13=0,"",INDEX(Список!M$6:M$85,A13))</f>
        <v>Мельникова Л. Н.</v>
      </c>
      <c r="D13" s="53" t="str">
        <f>IF(A13=0,"",INDEX(Список!N$6:N$85,A13))</f>
        <v>Химия</v>
      </c>
      <c r="E13" s="54">
        <f>VLOOKUP(D13,ШкалаТрудн!$C$5:$N$36,LEFT(F13,2)+1,0)</f>
        <v>0</v>
      </c>
      <c r="F13" s="27" t="s">
        <v>115</v>
      </c>
      <c r="G13" s="30">
        <v>31</v>
      </c>
      <c r="H13" s="143">
        <v>2</v>
      </c>
      <c r="I13" s="143">
        <v>23</v>
      </c>
      <c r="J13" s="143">
        <v>6</v>
      </c>
      <c r="K13" s="143"/>
      <c r="L13" s="143"/>
      <c r="M13" s="144"/>
      <c r="N13" s="29" t="b">
        <f t="shared" si="0"/>
        <v>1</v>
      </c>
      <c r="O13" s="31">
        <f t="shared" si="1"/>
        <v>3.870967741935484</v>
      </c>
      <c r="P13" s="32">
        <f t="shared" si="2"/>
        <v>1</v>
      </c>
      <c r="Q13" s="32">
        <f t="shared" si="3"/>
        <v>0.80645161290322576</v>
      </c>
      <c r="R13" s="32">
        <f t="shared" si="4"/>
        <v>0.60903225806451611</v>
      </c>
      <c r="S13" s="33">
        <f t="shared" si="5"/>
        <v>0.65806451612903227</v>
      </c>
      <c r="T13" s="90">
        <f t="shared" si="6"/>
        <v>3.870967741935484</v>
      </c>
      <c r="U13" s="130">
        <f>IF($C13=0,"",INDEX(Список!I$6:I$85,MATCH($C13,Список_учителя,0)))</f>
        <v>22</v>
      </c>
      <c r="V13" s="145"/>
    </row>
    <row r="14" spans="1:22" ht="12" customHeight="1">
      <c r="A14" s="51">
        <v>43</v>
      </c>
      <c r="B14" s="54">
        <f>IF($A14=0,"",INDEX(Список!O$6:O$85,$A14))</f>
        <v>9</v>
      </c>
      <c r="C14" s="53" t="str">
        <f>IF(A14=0,"",INDEX(Список!M$6:M$85,A14))</f>
        <v>Нагорная Н. П.</v>
      </c>
      <c r="D14" s="53" t="str">
        <f>IF(A14=0,"",INDEX(Список!N$6:N$85,A14))</f>
        <v>Литература НШ</v>
      </c>
      <c r="E14" s="54">
        <f>VLOOKUP(D14,ШкалаТрудн!$C$5:$N$36,LEFT(F14,2)+1,0)</f>
        <v>0</v>
      </c>
      <c r="F14" s="27" t="s">
        <v>115</v>
      </c>
      <c r="G14" s="30">
        <v>31</v>
      </c>
      <c r="H14" s="143">
        <v>9</v>
      </c>
      <c r="I14" s="143">
        <v>20</v>
      </c>
      <c r="J14" s="143">
        <v>2</v>
      </c>
      <c r="K14" s="143"/>
      <c r="L14" s="143"/>
      <c r="M14" s="144"/>
      <c r="N14" s="29" t="b">
        <f t="shared" si="0"/>
        <v>1</v>
      </c>
      <c r="O14" s="31">
        <f t="shared" si="1"/>
        <v>4.225806451612903</v>
      </c>
      <c r="P14" s="32">
        <f t="shared" si="2"/>
        <v>1</v>
      </c>
      <c r="Q14" s="32">
        <f t="shared" si="3"/>
        <v>0.93548387096774188</v>
      </c>
      <c r="R14" s="32">
        <f t="shared" si="4"/>
        <v>0.7264516129032258</v>
      </c>
      <c r="S14" s="33">
        <f t="shared" si="5"/>
        <v>0.80645161290322576</v>
      </c>
      <c r="T14" s="90">
        <f t="shared" si="6"/>
        <v>4.225806451612903</v>
      </c>
      <c r="U14" s="130">
        <f>IF($C14=0,"",INDEX(Список!I$6:I$85,MATCH($C14,Список_учителя,0)))</f>
        <v>23</v>
      </c>
      <c r="V14" s="145"/>
    </row>
    <row r="15" spans="1:22" ht="12" customHeight="1">
      <c r="A15" s="51">
        <v>9</v>
      </c>
      <c r="B15" s="54">
        <f>IF($A15=0,"",INDEX(Список!O$6:O$85,$A15))</f>
        <v>9</v>
      </c>
      <c r="C15" s="53" t="str">
        <f>IF(A15=0,"",INDEX(Список!M$6:M$85,A15))</f>
        <v>Ващенко Л. Ю.</v>
      </c>
      <c r="D15" s="53" t="str">
        <f>IF(A15=0,"",INDEX(Список!N$6:N$85,A15))</f>
        <v>Естествознание НШ</v>
      </c>
      <c r="E15" s="54">
        <f>VLOOKUP(D15,ШкалаТрудн!$C$5:$N$36,LEFT(F15,2)+1,0)</f>
        <v>6</v>
      </c>
      <c r="F15" s="27" t="s">
        <v>102</v>
      </c>
      <c r="G15" s="30">
        <v>27</v>
      </c>
      <c r="H15" s="143">
        <v>6</v>
      </c>
      <c r="I15" s="143">
        <v>17</v>
      </c>
      <c r="J15" s="143">
        <v>4</v>
      </c>
      <c r="K15" s="143"/>
      <c r="L15" s="143"/>
      <c r="M15" s="144"/>
      <c r="N15" s="29" t="b">
        <f t="shared" si="0"/>
        <v>1</v>
      </c>
      <c r="O15" s="31">
        <f t="shared" si="1"/>
        <v>4.0740740740740744</v>
      </c>
      <c r="P15" s="32">
        <f t="shared" si="2"/>
        <v>1</v>
      </c>
      <c r="Q15" s="32">
        <f t="shared" si="3"/>
        <v>0.85185185185185186</v>
      </c>
      <c r="R15" s="32">
        <f t="shared" si="4"/>
        <v>0.67851851851851863</v>
      </c>
      <c r="S15" s="33">
        <f t="shared" si="5"/>
        <v>0.72592592592592597</v>
      </c>
      <c r="T15" s="90">
        <f t="shared" si="6"/>
        <v>10.074074074074074</v>
      </c>
      <c r="U15" s="130">
        <f>IF($C15=0,"",INDEX(Список!I$6:I$85,MATCH($C15,Список_учителя,0)))</f>
        <v>5</v>
      </c>
      <c r="V15" s="145"/>
    </row>
    <row r="16" spans="1:22" ht="12" customHeight="1">
      <c r="A16" s="51">
        <v>6</v>
      </c>
      <c r="B16" s="54">
        <f>IF($A16=0,"",INDEX(Список!O$6:O$85,$A16))</f>
        <v>2</v>
      </c>
      <c r="C16" s="53" t="str">
        <f>IF(A16=0,"",INDEX(Список!M$6:M$85,A16))</f>
        <v>Бондаренко</v>
      </c>
      <c r="D16" s="53" t="str">
        <f>IF(A16=0,"",INDEX(Список!N$6:N$85,A16))</f>
        <v>Английский язык</v>
      </c>
      <c r="E16" s="54">
        <f>VLOOKUP(D16,ШкалаТрудн!$C$5:$N$36,LEFT(F16,2)+1,0)</f>
        <v>11</v>
      </c>
      <c r="F16" s="27" t="s">
        <v>117</v>
      </c>
      <c r="G16" s="30">
        <v>27</v>
      </c>
      <c r="H16" s="143">
        <v>19</v>
      </c>
      <c r="I16" s="143">
        <v>8</v>
      </c>
      <c r="J16" s="143"/>
      <c r="K16" s="143"/>
      <c r="L16" s="143"/>
      <c r="M16" s="144"/>
      <c r="N16" s="29" t="b">
        <f t="shared" si="0"/>
        <v>1</v>
      </c>
      <c r="O16" s="31">
        <f t="shared" si="1"/>
        <v>4.7037037037037033</v>
      </c>
      <c r="P16" s="32">
        <f t="shared" si="2"/>
        <v>1</v>
      </c>
      <c r="Q16" s="32">
        <f t="shared" si="3"/>
        <v>1</v>
      </c>
      <c r="R16" s="32">
        <f t="shared" si="4"/>
        <v>0.89333333333333342</v>
      </c>
      <c r="S16" s="33">
        <f t="shared" si="5"/>
        <v>0.94074074074074077</v>
      </c>
      <c r="T16" s="90">
        <f t="shared" si="6"/>
        <v>15.703703703703702</v>
      </c>
      <c r="U16" s="130" t="e">
        <f>IF($C16=0,"",INDEX(Список!I$6:I$85,MATCH($C16,Список_учителя,0)))</f>
        <v>#N/A</v>
      </c>
      <c r="V16" s="145"/>
    </row>
    <row r="17" spans="1:22" ht="12" customHeight="1">
      <c r="A17" s="51">
        <v>7</v>
      </c>
      <c r="B17" s="54">
        <f>IF($A17=0,"",INDEX(Список!O$6:O$85,$A17))</f>
        <v>2</v>
      </c>
      <c r="C17" s="53" t="str">
        <f>IF(A17=0,"",INDEX(Список!M$6:M$85,A17))</f>
        <v>Борисова М. А.</v>
      </c>
      <c r="D17" s="53" t="str">
        <f>IF(A17=0,"",INDEX(Список!N$6:N$85,A17))</f>
        <v>Английский язык</v>
      </c>
      <c r="E17" s="54">
        <f>VLOOKUP(D17,ШкалаТрудн!$C$5:$N$36,LEFT(F17,2)+1,0)</f>
        <v>0</v>
      </c>
      <c r="F17" s="27" t="s">
        <v>102</v>
      </c>
      <c r="G17" s="30">
        <v>27</v>
      </c>
      <c r="H17" s="143">
        <v>11</v>
      </c>
      <c r="I17" s="143">
        <v>13</v>
      </c>
      <c r="J17" s="143">
        <v>3</v>
      </c>
      <c r="K17" s="143"/>
      <c r="L17" s="143"/>
      <c r="M17" s="144"/>
      <c r="N17" s="29" t="b">
        <f t="shared" si="0"/>
        <v>1</v>
      </c>
      <c r="O17" s="31">
        <f t="shared" si="1"/>
        <v>4.2962962962962967</v>
      </c>
      <c r="P17" s="32">
        <f t="shared" si="2"/>
        <v>1</v>
      </c>
      <c r="Q17" s="32">
        <f t="shared" si="3"/>
        <v>0.88888888888888884</v>
      </c>
      <c r="R17" s="32">
        <f t="shared" si="4"/>
        <v>0.75555555555555554</v>
      </c>
      <c r="S17" s="33">
        <f t="shared" si="5"/>
        <v>0.79259259259259263</v>
      </c>
      <c r="T17" s="90">
        <f t="shared" si="6"/>
        <v>4.2962962962962967</v>
      </c>
      <c r="U17" s="130">
        <f>IF($C17=0,"",INDEX(Список!I$6:I$85,MATCH($C17,Список_учителя,0)))</f>
        <v>4</v>
      </c>
      <c r="V17" s="145"/>
    </row>
    <row r="18" spans="1:22" ht="12" customHeight="1">
      <c r="A18" s="51">
        <v>8</v>
      </c>
      <c r="B18" s="54">
        <f>IF($A18=0,"",INDEX(Список!O$6:O$85,$A18))</f>
        <v>9</v>
      </c>
      <c r="C18" s="53" t="str">
        <f>IF(A18=0,"",INDEX(Список!M$6:M$85,A18))</f>
        <v>Ващенко Л. Ю.</v>
      </c>
      <c r="D18" s="53" t="str">
        <f>IF(A18=0,"",INDEX(Список!N$6:N$85,A18))</f>
        <v>Математика НШ</v>
      </c>
      <c r="E18" s="54">
        <f>VLOOKUP(D18,ШкалаТрудн!$C$5:$N$36,LEFT(F18,2)+1,0)</f>
        <v>8</v>
      </c>
      <c r="F18" s="27" t="s">
        <v>102</v>
      </c>
      <c r="G18" s="30">
        <v>27</v>
      </c>
      <c r="H18" s="143">
        <v>11</v>
      </c>
      <c r="I18" s="143">
        <v>16</v>
      </c>
      <c r="J18" s="143"/>
      <c r="K18" s="143"/>
      <c r="L18" s="143"/>
      <c r="M18" s="144"/>
      <c r="N18" s="29" t="b">
        <f t="shared" si="0"/>
        <v>1</v>
      </c>
      <c r="O18" s="31">
        <f t="shared" si="1"/>
        <v>4.4074074074074074</v>
      </c>
      <c r="P18" s="32">
        <f t="shared" si="2"/>
        <v>1</v>
      </c>
      <c r="Q18" s="32">
        <f t="shared" si="3"/>
        <v>1</v>
      </c>
      <c r="R18" s="32">
        <f t="shared" si="4"/>
        <v>0.78666666666666674</v>
      </c>
      <c r="S18" s="33">
        <f t="shared" si="5"/>
        <v>0.88148148148148153</v>
      </c>
      <c r="T18" s="90">
        <f t="shared" si="6"/>
        <v>12.407407407407408</v>
      </c>
      <c r="U18" s="130">
        <f>IF($C18=0,"",INDEX(Список!I$6:I$85,MATCH($C18,Список_учителя,0)))</f>
        <v>5</v>
      </c>
      <c r="V18" s="145"/>
    </row>
    <row r="19" spans="1:22" ht="12" customHeight="1">
      <c r="A19" s="51">
        <v>71</v>
      </c>
      <c r="B19" s="54">
        <f>IF($A19=0,"",INDEX(Список!O$6:O$85,$A19))</f>
        <v>3</v>
      </c>
      <c r="C19" s="53" t="str">
        <f>IF(A19=0,"",INDEX(Список!M$6:M$85,A19))</f>
        <v xml:space="preserve">Тулинов Н. И. </v>
      </c>
      <c r="D19" s="53" t="str">
        <f>IF(A19=0,"",INDEX(Список!N$6:N$85,A19))</f>
        <v>Алгебра</v>
      </c>
      <c r="E19" s="54">
        <f>VLOOKUP(D19,ШкалаТрудн!$C$5:$N$36,LEFT(F19,2)+1,0)</f>
        <v>0</v>
      </c>
      <c r="F19" s="27" t="s">
        <v>104</v>
      </c>
      <c r="G19" s="30">
        <v>31</v>
      </c>
      <c r="H19" s="143">
        <v>8</v>
      </c>
      <c r="I19" s="143">
        <v>16</v>
      </c>
      <c r="J19" s="143">
        <v>7</v>
      </c>
      <c r="K19" s="143"/>
      <c r="L19" s="143"/>
      <c r="M19" s="144"/>
      <c r="N19" s="29" t="b">
        <f t="shared" si="0"/>
        <v>1</v>
      </c>
      <c r="O19" s="31">
        <f t="shared" si="1"/>
        <v>4.032258064516129</v>
      </c>
      <c r="P19" s="32">
        <f t="shared" si="2"/>
        <v>1</v>
      </c>
      <c r="Q19" s="32">
        <f t="shared" si="3"/>
        <v>0.77419354838709675</v>
      </c>
      <c r="R19" s="32">
        <f t="shared" si="4"/>
        <v>0.66967741935483871</v>
      </c>
      <c r="S19" s="33">
        <f t="shared" si="5"/>
        <v>0.67096774193548392</v>
      </c>
      <c r="T19" s="90">
        <f t="shared" si="6"/>
        <v>4.032258064516129</v>
      </c>
      <c r="U19" s="130">
        <f>IF($C19=0,"",INDEX(Список!I$6:I$85,MATCH($C19,Список_учителя,0)))</f>
        <v>39</v>
      </c>
      <c r="V19" s="145"/>
    </row>
    <row r="20" spans="1:22" ht="12" customHeight="1">
      <c r="A20" s="51">
        <v>68</v>
      </c>
      <c r="B20" s="54">
        <f>IF($A20=0,"",INDEX(Список!O$6:O$85,$A20))</f>
        <v>9</v>
      </c>
      <c r="C20" s="53" t="str">
        <f>IF(A20=0,"",INDEX(Список!M$6:M$85,A20))</f>
        <v>Сорокина М. В.</v>
      </c>
      <c r="D20" s="53" t="str">
        <f>IF(A20=0,"",INDEX(Список!N$6:N$85,A20))</f>
        <v>Математика НШ</v>
      </c>
      <c r="E20" s="54">
        <f>VLOOKUP(D20,ШкалаТрудн!$C$5:$N$36,LEFT(F20,2)+1,0)</f>
        <v>8</v>
      </c>
      <c r="F20" s="27" t="s">
        <v>104</v>
      </c>
      <c r="G20" s="30">
        <v>31</v>
      </c>
      <c r="H20" s="143">
        <v>27</v>
      </c>
      <c r="I20" s="143">
        <v>3</v>
      </c>
      <c r="J20" s="143">
        <v>1</v>
      </c>
      <c r="K20" s="143"/>
      <c r="L20" s="143"/>
      <c r="M20" s="144"/>
      <c r="N20" s="29" t="b">
        <f t="shared" si="0"/>
        <v>1</v>
      </c>
      <c r="O20" s="31">
        <f t="shared" si="1"/>
        <v>4.838709677419355</v>
      </c>
      <c r="P20" s="32">
        <f t="shared" si="2"/>
        <v>1</v>
      </c>
      <c r="Q20" s="32">
        <f t="shared" si="3"/>
        <v>0.967741935483871</v>
      </c>
      <c r="R20" s="32">
        <f t="shared" si="4"/>
        <v>0.94451612903225812</v>
      </c>
      <c r="S20" s="33">
        <f t="shared" si="5"/>
        <v>0.94838709677419353</v>
      </c>
      <c r="T20" s="90">
        <f t="shared" si="6"/>
        <v>12.838709677419356</v>
      </c>
      <c r="U20" s="130">
        <f>IF($C20=0,"",INDEX(Список!I$6:I$85,MATCH($C20,Список_учителя,0)))</f>
        <v>38</v>
      </c>
      <c r="V20" s="145"/>
    </row>
    <row r="21" spans="1:22" ht="12" customHeight="1">
      <c r="A21" s="51">
        <v>69</v>
      </c>
      <c r="B21" s="54">
        <f>IF($A21=0,"",INDEX(Список!O$6:O$85,$A21))</f>
        <v>9</v>
      </c>
      <c r="C21" s="53" t="str">
        <f>IF(A21=0,"",INDEX(Список!M$6:M$85,A21))</f>
        <v>Сорокина М. В.</v>
      </c>
      <c r="D21" s="53" t="str">
        <f>IF(A21=0,"",INDEX(Список!N$6:N$85,A21))</f>
        <v>Естествознание НШ</v>
      </c>
      <c r="E21" s="54">
        <f>VLOOKUP(D21,ШкалаТрудн!$C$5:$N$36,LEFT(F21,2)+1,0)</f>
        <v>6</v>
      </c>
      <c r="F21" s="27" t="s">
        <v>104</v>
      </c>
      <c r="G21" s="30">
        <v>31</v>
      </c>
      <c r="H21" s="143">
        <v>8</v>
      </c>
      <c r="I21" s="143">
        <v>19</v>
      </c>
      <c r="J21" s="143">
        <v>4</v>
      </c>
      <c r="K21" s="143"/>
      <c r="L21" s="143"/>
      <c r="M21" s="144"/>
      <c r="N21" s="29" t="b">
        <f t="shared" si="0"/>
        <v>1</v>
      </c>
      <c r="O21" s="31">
        <f t="shared" si="1"/>
        <v>4.129032258064516</v>
      </c>
      <c r="P21" s="32">
        <f t="shared" si="2"/>
        <v>1</v>
      </c>
      <c r="Q21" s="32">
        <f t="shared" si="3"/>
        <v>0.87096774193548387</v>
      </c>
      <c r="R21" s="32">
        <f t="shared" si="4"/>
        <v>0.6967741935483871</v>
      </c>
      <c r="S21" s="33">
        <f t="shared" si="5"/>
        <v>0.74838709677419357</v>
      </c>
      <c r="T21" s="90">
        <f t="shared" si="6"/>
        <v>10.129032258064516</v>
      </c>
      <c r="U21" s="130">
        <f>IF($C21=0,"",INDEX(Список!I$6:I$85,MATCH($C21,Список_учителя,0)))</f>
        <v>38</v>
      </c>
      <c r="V21" s="145"/>
    </row>
    <row r="22" spans="1:22" ht="12" customHeight="1">
      <c r="A22" s="51">
        <v>70</v>
      </c>
      <c r="B22" s="54">
        <f>IF($A22=0,"",INDEX(Список!O$6:O$85,$A22))</f>
        <v>9</v>
      </c>
      <c r="C22" s="53" t="str">
        <f>IF(A22=0,"",INDEX(Список!M$6:M$85,A22))</f>
        <v>Сорокина М. В.</v>
      </c>
      <c r="D22" s="53" t="str">
        <f>IF(A22=0,"",INDEX(Список!N$6:N$85,A22))</f>
        <v>Русский язык НШ</v>
      </c>
      <c r="E22" s="54">
        <f>VLOOKUP(D22,ШкалаТрудн!$C$5:$N$36,LEFT(F22,2)+1,0)</f>
        <v>7</v>
      </c>
      <c r="F22" s="27" t="s">
        <v>104</v>
      </c>
      <c r="G22" s="30">
        <v>31</v>
      </c>
      <c r="H22" s="143">
        <v>21</v>
      </c>
      <c r="I22" s="143">
        <v>10</v>
      </c>
      <c r="J22" s="143"/>
      <c r="K22" s="143"/>
      <c r="L22" s="143"/>
      <c r="M22" s="144"/>
      <c r="N22" s="29" t="b">
        <f t="shared" si="0"/>
        <v>1</v>
      </c>
      <c r="O22" s="31">
        <f t="shared" si="1"/>
        <v>4.67741935483871</v>
      </c>
      <c r="P22" s="32">
        <f t="shared" si="2"/>
        <v>1</v>
      </c>
      <c r="Q22" s="32">
        <f t="shared" si="3"/>
        <v>1</v>
      </c>
      <c r="R22" s="32">
        <f t="shared" si="4"/>
        <v>0.88387096774193541</v>
      </c>
      <c r="S22" s="33">
        <f t="shared" si="5"/>
        <v>0.93548387096774188</v>
      </c>
      <c r="T22" s="90">
        <f t="shared" si="6"/>
        <v>11.67741935483871</v>
      </c>
      <c r="U22" s="130">
        <f>IF($C22=0,"",INDEX(Список!I$6:I$85,MATCH($C22,Список_учителя,0)))</f>
        <v>38</v>
      </c>
      <c r="V22" s="145"/>
    </row>
    <row r="23" spans="1:22" ht="12" customHeight="1">
      <c r="A23" s="51">
        <v>17</v>
      </c>
      <c r="B23" s="54">
        <f>IF($A23=0,"",INDEX(Список!O$6:O$85,$A23))</f>
        <v>3</v>
      </c>
      <c r="C23" s="53" t="str">
        <f>IF(A23=0,"",INDEX(Список!M$6:M$85,A23))</f>
        <v>Даниленко И. Н.</v>
      </c>
      <c r="D23" s="53" t="str">
        <f>IF(A23=0,"",INDEX(Список!N$6:N$85,A23))</f>
        <v>Алгебра</v>
      </c>
      <c r="E23" s="54">
        <f>VLOOKUP(D23,ШкалаТрудн!$C$5:$N$36,LEFT(F23,2)+1,0)</f>
        <v>0</v>
      </c>
      <c r="F23" s="27" t="s">
        <v>106</v>
      </c>
      <c r="G23" s="30">
        <v>27</v>
      </c>
      <c r="H23" s="143">
        <v>4</v>
      </c>
      <c r="I23" s="143">
        <v>19</v>
      </c>
      <c r="J23" s="143">
        <v>4</v>
      </c>
      <c r="K23" s="143"/>
      <c r="L23" s="143"/>
      <c r="M23" s="144"/>
      <c r="N23" s="29" t="b">
        <f t="shared" si="0"/>
        <v>1</v>
      </c>
      <c r="O23" s="31">
        <f t="shared" si="1"/>
        <v>4</v>
      </c>
      <c r="P23" s="32">
        <f t="shared" si="2"/>
        <v>1</v>
      </c>
      <c r="Q23" s="32">
        <f t="shared" si="3"/>
        <v>0.85185185185185186</v>
      </c>
      <c r="R23" s="32">
        <f t="shared" si="4"/>
        <v>0.6518518518518519</v>
      </c>
      <c r="S23" s="33">
        <f t="shared" si="5"/>
        <v>0.71111111111111114</v>
      </c>
      <c r="T23" s="90">
        <f t="shared" si="6"/>
        <v>4</v>
      </c>
      <c r="U23" s="130">
        <f>IF($C23=0,"",INDEX(Список!I$6:I$85,MATCH($C23,Список_учителя,0)))</f>
        <v>7</v>
      </c>
      <c r="V23" s="145"/>
    </row>
    <row r="24" spans="1:22" ht="12" customHeight="1">
      <c r="A24" s="51">
        <v>14</v>
      </c>
      <c r="B24" s="54">
        <f>IF($A24=0,"",INDEX(Список!O$6:O$85,$A24))</f>
        <v>9</v>
      </c>
      <c r="C24" s="53" t="str">
        <f>IF(A24=0,"",INDEX(Список!M$6:M$85,A24))</f>
        <v>Гладкая И В</v>
      </c>
      <c r="D24" s="53" t="str">
        <f>IF(A24=0,"",INDEX(Список!N$6:N$85,A24))</f>
        <v>Математика НШ</v>
      </c>
      <c r="E24" s="54">
        <f>VLOOKUP(D24,ШкалаТрудн!$C$5:$N$36,LEFT(F24,2)+1,0)</f>
        <v>8</v>
      </c>
      <c r="F24" s="27" t="s">
        <v>106</v>
      </c>
      <c r="G24" s="30">
        <v>27</v>
      </c>
      <c r="H24" s="143">
        <v>23</v>
      </c>
      <c r="I24" s="143">
        <v>3</v>
      </c>
      <c r="J24" s="143">
        <v>1</v>
      </c>
      <c r="K24" s="143"/>
      <c r="L24" s="143"/>
      <c r="M24" s="144"/>
      <c r="N24" s="29" t="b">
        <f t="shared" si="0"/>
        <v>1</v>
      </c>
      <c r="O24" s="31">
        <f t="shared" si="1"/>
        <v>4.8148148148148149</v>
      </c>
      <c r="P24" s="32">
        <f t="shared" si="2"/>
        <v>1</v>
      </c>
      <c r="Q24" s="32">
        <f t="shared" si="3"/>
        <v>0.96296296296296291</v>
      </c>
      <c r="R24" s="32">
        <f t="shared" si="4"/>
        <v>0.93629629629629629</v>
      </c>
      <c r="S24" s="33">
        <f t="shared" si="5"/>
        <v>0.94074074074074077</v>
      </c>
      <c r="T24" s="90">
        <f t="shared" si="6"/>
        <v>12.814814814814815</v>
      </c>
      <c r="U24" s="130">
        <f>IF($C24=0,"",INDEX(Список!I$6:I$85,MATCH($C24,Список_учителя,0)))</f>
        <v>6</v>
      </c>
      <c r="V24" s="145"/>
    </row>
    <row r="25" spans="1:22" ht="12" customHeight="1">
      <c r="A25" s="51">
        <v>15</v>
      </c>
      <c r="B25" s="54">
        <f>IF($A25=0,"",INDEX(Список!O$6:O$85,$A25))</f>
        <v>9</v>
      </c>
      <c r="C25" s="53" t="str">
        <f>IF(A25=0,"",INDEX(Список!M$6:M$85,A25))</f>
        <v>Гладкая И В</v>
      </c>
      <c r="D25" s="53" t="str">
        <f>IF(A25=0,"",INDEX(Список!N$6:N$85,A25))</f>
        <v>Естествознание НШ</v>
      </c>
      <c r="E25" s="54">
        <f>VLOOKUP(D25,ШкалаТрудн!$C$5:$N$36,LEFT(F25,2)+1,0)</f>
        <v>6</v>
      </c>
      <c r="F25" s="27" t="s">
        <v>106</v>
      </c>
      <c r="G25" s="30">
        <v>27</v>
      </c>
      <c r="H25" s="143">
        <v>14</v>
      </c>
      <c r="I25" s="143">
        <v>11</v>
      </c>
      <c r="J25" s="143">
        <v>2</v>
      </c>
      <c r="K25" s="143"/>
      <c r="L25" s="143"/>
      <c r="M25" s="144"/>
      <c r="N25" s="29" t="b">
        <f t="shared" si="0"/>
        <v>1</v>
      </c>
      <c r="O25" s="31">
        <f t="shared" si="1"/>
        <v>4.4444444444444446</v>
      </c>
      <c r="P25" s="32">
        <f t="shared" si="2"/>
        <v>1</v>
      </c>
      <c r="Q25" s="32">
        <f t="shared" si="3"/>
        <v>0.92592592592592593</v>
      </c>
      <c r="R25" s="32">
        <f t="shared" si="4"/>
        <v>0.80592592592592582</v>
      </c>
      <c r="S25" s="33">
        <f t="shared" si="5"/>
        <v>0.84444444444444444</v>
      </c>
      <c r="T25" s="90">
        <f t="shared" si="6"/>
        <v>10.444444444444445</v>
      </c>
      <c r="U25" s="130">
        <f>IF($C25=0,"",INDEX(Список!I$6:I$85,MATCH($C25,Список_учителя,0)))</f>
        <v>6</v>
      </c>
      <c r="V25" s="145"/>
    </row>
    <row r="26" spans="1:22" ht="12" customHeight="1">
      <c r="A26" s="51">
        <v>16</v>
      </c>
      <c r="B26" s="54">
        <f>IF($A26=0,"",INDEX(Список!O$6:O$85,$A26))</f>
        <v>9</v>
      </c>
      <c r="C26" s="53" t="str">
        <f>IF(A26=0,"",INDEX(Список!M$6:M$85,A26))</f>
        <v>Гладкая И В</v>
      </c>
      <c r="D26" s="53" t="str">
        <f>IF(A26=0,"",INDEX(Список!N$6:N$85,A26))</f>
        <v>Литература НШ</v>
      </c>
      <c r="E26" s="54">
        <f>VLOOKUP(D26,ШкалаТрудн!$C$5:$N$36,LEFT(F26,2)+1,0)</f>
        <v>5</v>
      </c>
      <c r="F26" s="27" t="s">
        <v>106</v>
      </c>
      <c r="G26" s="30">
        <v>27</v>
      </c>
      <c r="H26" s="143">
        <v>20</v>
      </c>
      <c r="I26" s="143">
        <v>7</v>
      </c>
      <c r="J26" s="143"/>
      <c r="K26" s="143"/>
      <c r="L26" s="143"/>
      <c r="M26" s="144"/>
      <c r="N26" s="29" t="b">
        <f t="shared" si="0"/>
        <v>1</v>
      </c>
      <c r="O26" s="31">
        <f t="shared" si="1"/>
        <v>4.7407407407407405</v>
      </c>
      <c r="P26" s="32">
        <f t="shared" si="2"/>
        <v>1</v>
      </c>
      <c r="Q26" s="32">
        <f t="shared" si="3"/>
        <v>1</v>
      </c>
      <c r="R26" s="32">
        <f t="shared" si="4"/>
        <v>0.90666666666666673</v>
      </c>
      <c r="S26" s="33">
        <f t="shared" si="5"/>
        <v>0.94814814814814818</v>
      </c>
      <c r="T26" s="90">
        <f t="shared" si="6"/>
        <v>9.7407407407407405</v>
      </c>
      <c r="U26" s="130">
        <f>IF($C26=0,"",INDEX(Список!I$6:I$85,MATCH($C26,Список_учителя,0)))</f>
        <v>6</v>
      </c>
      <c r="V26" s="145"/>
    </row>
    <row r="27" spans="1:22" ht="12" customHeight="1">
      <c r="A27" s="51">
        <v>34</v>
      </c>
      <c r="B27" s="54">
        <f>IF($A27=0,"",INDEX(Список!O$6:O$85,$A27))</f>
        <v>4</v>
      </c>
      <c r="C27" s="53" t="str">
        <f>IF(A27=0,"",INDEX(Список!M$6:M$85,A27))</f>
        <v>Ланова Н.Ю.</v>
      </c>
      <c r="D27" s="53" t="str">
        <f>IF(A27=0,"",INDEX(Список!N$6:N$85,A27))</f>
        <v>История</v>
      </c>
      <c r="E27" s="54">
        <f>VLOOKUP(D27,ШкалаТрудн!$C$5:$N$36,LEFT(F27,2)+1,0)</f>
        <v>4</v>
      </c>
      <c r="F27" s="27" t="s">
        <v>110</v>
      </c>
      <c r="G27" s="30">
        <v>30</v>
      </c>
      <c r="H27" s="143">
        <v>4</v>
      </c>
      <c r="I27" s="143">
        <v>19</v>
      </c>
      <c r="J27" s="143">
        <v>7</v>
      </c>
      <c r="K27" s="143"/>
      <c r="L27" s="143"/>
      <c r="M27" s="144"/>
      <c r="N27" s="29" t="b">
        <f t="shared" si="0"/>
        <v>1</v>
      </c>
      <c r="O27" s="31">
        <f t="shared" si="1"/>
        <v>3.9</v>
      </c>
      <c r="P27" s="32">
        <f t="shared" si="2"/>
        <v>1</v>
      </c>
      <c r="Q27" s="32">
        <f t="shared" si="3"/>
        <v>0.76666666666666672</v>
      </c>
      <c r="R27" s="32">
        <f t="shared" si="4"/>
        <v>0.6226666666666667</v>
      </c>
      <c r="S27" s="33">
        <f t="shared" si="5"/>
        <v>0.64</v>
      </c>
      <c r="T27" s="90">
        <f t="shared" si="6"/>
        <v>7.9</v>
      </c>
      <c r="U27" s="130">
        <f>IF($C27=0,"",INDEX(Список!I$6:I$85,MATCH($C27,Список_учителя,0)))</f>
        <v>18</v>
      </c>
      <c r="V27" s="145"/>
    </row>
    <row r="28" spans="1:22" ht="12" customHeight="1">
      <c r="A28" s="51">
        <v>32</v>
      </c>
      <c r="B28" s="54">
        <f>IF($A28=0,"",INDEX(Список!O$6:O$85,$A28))</f>
        <v>3</v>
      </c>
      <c r="C28" s="53" t="str">
        <f>IF(A28=0,"",INDEX(Список!M$6:M$85,A28))</f>
        <v xml:space="preserve">Кузнецова Н.М. </v>
      </c>
      <c r="D28" s="53" t="str">
        <f>IF(A28=0,"",INDEX(Список!N$6:N$85,A28))</f>
        <v>Геометрия</v>
      </c>
      <c r="E28" s="54">
        <f>VLOOKUP(D28,ШкалаТрудн!$C$5:$N$36,LEFT(F28,2)+1,0)</f>
        <v>0</v>
      </c>
      <c r="F28" s="27" t="s">
        <v>110</v>
      </c>
      <c r="G28" s="30">
        <v>30</v>
      </c>
      <c r="H28" s="143">
        <v>4</v>
      </c>
      <c r="I28" s="143">
        <v>20</v>
      </c>
      <c r="J28" s="143">
        <v>6</v>
      </c>
      <c r="K28" s="143"/>
      <c r="L28" s="143"/>
      <c r="M28" s="144"/>
      <c r="N28" s="29" t="b">
        <f t="shared" si="0"/>
        <v>1</v>
      </c>
      <c r="O28" s="31">
        <f t="shared" si="1"/>
        <v>3.9333333333333331</v>
      </c>
      <c r="P28" s="32">
        <f t="shared" si="2"/>
        <v>1</v>
      </c>
      <c r="Q28" s="32">
        <f t="shared" si="3"/>
        <v>0.8</v>
      </c>
      <c r="R28" s="32">
        <f t="shared" si="4"/>
        <v>0.63200000000000001</v>
      </c>
      <c r="S28" s="33">
        <f t="shared" si="5"/>
        <v>0.66666666666666663</v>
      </c>
      <c r="T28" s="90">
        <f t="shared" si="6"/>
        <v>3.9333333333333331</v>
      </c>
      <c r="U28" s="130">
        <f>IF($C28=0,"",INDEX(Список!I$6:I$85,MATCH($C28,Список_учителя,0)))</f>
        <v>16</v>
      </c>
      <c r="V28" s="145"/>
    </row>
    <row r="29" spans="1:22" ht="12" customHeight="1">
      <c r="A29" s="51">
        <v>33</v>
      </c>
      <c r="B29" s="54">
        <f>IF($A29=0,"",INDEX(Список!O$6:O$85,$A29))</f>
        <v>3</v>
      </c>
      <c r="C29" s="53" t="str">
        <f>IF(A29=0,"",INDEX(Список!M$6:M$85,A29))</f>
        <v xml:space="preserve">Кузнецова Н.М. </v>
      </c>
      <c r="D29" s="53" t="str">
        <f>IF(A29=0,"",INDEX(Список!N$6:N$85,A29))</f>
        <v>Математика</v>
      </c>
      <c r="E29" s="54">
        <f>VLOOKUP(D29,ШкалаТрудн!$C$5:$N$36,LEFT(F29,2)+1,0)</f>
        <v>0</v>
      </c>
      <c r="F29" s="27" t="s">
        <v>110</v>
      </c>
      <c r="G29" s="30">
        <v>30</v>
      </c>
      <c r="H29" s="143">
        <v>17</v>
      </c>
      <c r="I29" s="143">
        <v>13</v>
      </c>
      <c r="J29" s="143"/>
      <c r="K29" s="143"/>
      <c r="L29" s="143"/>
      <c r="M29" s="144"/>
      <c r="N29" s="29" t="b">
        <f t="shared" si="0"/>
        <v>1</v>
      </c>
      <c r="O29" s="31">
        <f t="shared" si="1"/>
        <v>4.5666666666666664</v>
      </c>
      <c r="P29" s="32">
        <f t="shared" si="2"/>
        <v>1</v>
      </c>
      <c r="Q29" s="32">
        <f t="shared" si="3"/>
        <v>1</v>
      </c>
      <c r="R29" s="32">
        <f t="shared" si="4"/>
        <v>0.84399999999999997</v>
      </c>
      <c r="S29" s="33">
        <f t="shared" si="5"/>
        <v>0.91333333333333333</v>
      </c>
      <c r="T29" s="90">
        <f t="shared" si="6"/>
        <v>4.5666666666666664</v>
      </c>
      <c r="U29" s="130">
        <f>IF($C29=0,"",INDEX(Список!I$6:I$85,MATCH($C29,Список_учителя,0)))</f>
        <v>16</v>
      </c>
      <c r="V29" s="145"/>
    </row>
    <row r="30" spans="1:22" ht="12" customHeight="1">
      <c r="A30" s="51">
        <v>38</v>
      </c>
      <c r="B30" s="54">
        <f>IF($A30=0,"",INDEX(Список!O$6:O$85,$A30))</f>
        <v>9</v>
      </c>
      <c r="C30" s="53" t="str">
        <f>IF(A30=0,"",INDEX(Список!M$6:M$85,A30))</f>
        <v>Литвинова  А. И.</v>
      </c>
      <c r="D30" s="53" t="str">
        <f>IF(A30=0,"",INDEX(Список!N$6:N$85,A30))</f>
        <v>Естествознание НШ</v>
      </c>
      <c r="E30" s="54">
        <f>VLOOKUP(D30,ШкалаТрудн!$C$5:$N$36,LEFT(F30,2)+1,0)</f>
        <v>6</v>
      </c>
      <c r="F30" s="27" t="s">
        <v>111</v>
      </c>
      <c r="G30" s="30">
        <v>30</v>
      </c>
      <c r="H30" s="143">
        <v>7</v>
      </c>
      <c r="I30" s="143">
        <v>17</v>
      </c>
      <c r="J30" s="143">
        <v>6</v>
      </c>
      <c r="K30" s="143"/>
      <c r="L30" s="143"/>
      <c r="M30" s="144"/>
      <c r="N30" s="29" t="b">
        <f t="shared" si="0"/>
        <v>1</v>
      </c>
      <c r="O30" s="31">
        <f t="shared" si="1"/>
        <v>4.0333333333333332</v>
      </c>
      <c r="P30" s="32">
        <f t="shared" si="2"/>
        <v>1</v>
      </c>
      <c r="Q30" s="32">
        <f t="shared" si="3"/>
        <v>0.8</v>
      </c>
      <c r="R30" s="32">
        <f t="shared" si="4"/>
        <v>0.66800000000000004</v>
      </c>
      <c r="S30" s="33">
        <f t="shared" si="5"/>
        <v>0.68666666666666665</v>
      </c>
      <c r="T30" s="90">
        <f t="shared" si="6"/>
        <v>10.033333333333333</v>
      </c>
      <c r="U30" s="130">
        <f>IF($C30=0,"",INDEX(Список!I$6:I$85,MATCH($C30,Список_учителя,0)))</f>
        <v>19</v>
      </c>
      <c r="V30" s="145"/>
    </row>
    <row r="31" spans="1:22" ht="12" customHeight="1">
      <c r="A31" s="51">
        <v>36</v>
      </c>
      <c r="B31" s="54">
        <f>IF($A31=0,"",INDEX(Список!O$6:O$85,$A31))</f>
        <v>9</v>
      </c>
      <c r="C31" s="53" t="str">
        <f>IF(A31=0,"",INDEX(Список!M$6:M$85,A31))</f>
        <v>Литвинова  А. И.</v>
      </c>
      <c r="D31" s="53" t="str">
        <f>IF(A31=0,"",INDEX(Список!N$6:N$85,A31))</f>
        <v>Литература НШ</v>
      </c>
      <c r="E31" s="54">
        <f>VLOOKUP(D31,ШкалаТрудн!$C$5:$N$36,LEFT(F31,2)+1,0)</f>
        <v>5</v>
      </c>
      <c r="F31" s="27" t="s">
        <v>111</v>
      </c>
      <c r="G31" s="28">
        <v>30</v>
      </c>
      <c r="H31" s="143">
        <v>5</v>
      </c>
      <c r="I31" s="143">
        <v>21</v>
      </c>
      <c r="J31" s="143">
        <v>4</v>
      </c>
      <c r="K31" s="143"/>
      <c r="L31" s="143"/>
      <c r="M31" s="144"/>
      <c r="N31" s="29" t="b">
        <f t="shared" si="0"/>
        <v>1</v>
      </c>
      <c r="O31" s="31">
        <f t="shared" si="1"/>
        <v>4.0333333333333332</v>
      </c>
      <c r="P31" s="32">
        <f t="shared" si="2"/>
        <v>1</v>
      </c>
      <c r="Q31" s="32">
        <f t="shared" si="3"/>
        <v>0.8666666666666667</v>
      </c>
      <c r="R31" s="32">
        <f t="shared" si="4"/>
        <v>0.66266666666666663</v>
      </c>
      <c r="S31" s="33">
        <f t="shared" si="5"/>
        <v>0.72666666666666668</v>
      </c>
      <c r="T31" s="90">
        <f t="shared" si="6"/>
        <v>9.0333333333333332</v>
      </c>
      <c r="U31" s="130">
        <f>IF($C31=0,"",INDEX(Список!I$6:I$85,MATCH($C31,Список_учителя,0)))</f>
        <v>19</v>
      </c>
      <c r="V31" s="145"/>
    </row>
    <row r="32" spans="1:22" ht="12" customHeight="1">
      <c r="A32" s="51">
        <v>37</v>
      </c>
      <c r="B32" s="54">
        <f>IF($A32=0,"",INDEX(Список!O$6:O$85,$A32))</f>
        <v>9</v>
      </c>
      <c r="C32" s="53" t="str">
        <f>IF(A32=0,"",INDEX(Список!M$6:M$85,A32))</f>
        <v>Литвинова  А. И.</v>
      </c>
      <c r="D32" s="53" t="str">
        <f>IF(A32=0,"",INDEX(Список!N$6:N$85,A32))</f>
        <v>Математика НШ</v>
      </c>
      <c r="E32" s="54">
        <f>VLOOKUP(D32,ШкалаТрудн!$C$5:$N$36,LEFT(F32,2)+1,0)</f>
        <v>8</v>
      </c>
      <c r="F32" s="27" t="s">
        <v>111</v>
      </c>
      <c r="G32" s="30">
        <v>30</v>
      </c>
      <c r="H32" s="143">
        <v>18</v>
      </c>
      <c r="I32" s="143">
        <v>10</v>
      </c>
      <c r="J32" s="143">
        <v>2</v>
      </c>
      <c r="K32" s="143"/>
      <c r="L32" s="143"/>
      <c r="M32" s="144"/>
      <c r="N32" s="29" t="b">
        <f t="shared" si="0"/>
        <v>1</v>
      </c>
      <c r="O32" s="31">
        <f t="shared" si="1"/>
        <v>4.5333333333333332</v>
      </c>
      <c r="P32" s="32">
        <f t="shared" si="2"/>
        <v>1</v>
      </c>
      <c r="Q32" s="32">
        <f t="shared" si="3"/>
        <v>0.93333333333333335</v>
      </c>
      <c r="R32" s="32">
        <f t="shared" si="4"/>
        <v>0.83733333333333326</v>
      </c>
      <c r="S32" s="33">
        <f t="shared" si="5"/>
        <v>0.8666666666666667</v>
      </c>
      <c r="T32" s="90">
        <f t="shared" si="6"/>
        <v>12.533333333333333</v>
      </c>
      <c r="U32" s="130">
        <f>IF($C32=0,"",INDEX(Список!I$6:I$85,MATCH($C32,Список_учителя,0)))</f>
        <v>19</v>
      </c>
      <c r="V32" s="145"/>
    </row>
    <row r="33" spans="1:22" ht="12" customHeight="1">
      <c r="A33" s="51">
        <v>63</v>
      </c>
      <c r="B33" s="54">
        <f>IF($A33=0,"",INDEX(Список!O$6:O$85,$A33))</f>
        <v>9</v>
      </c>
      <c r="C33" s="53" t="str">
        <f>IF(A33=0,"",INDEX(Список!M$6:M$85,A33))</f>
        <v>Самойленко Н. Ф.</v>
      </c>
      <c r="D33" s="53" t="str">
        <f>IF(A33=0,"",INDEX(Список!N$6:N$85,A33))</f>
        <v>Русский язык НШ</v>
      </c>
      <c r="E33" s="54">
        <f>VLOOKUP(D33,ШкалаТрудн!$C$5:$N$36,LEFT(F33,2)+1,0)</f>
        <v>7</v>
      </c>
      <c r="F33" s="27" t="s">
        <v>96</v>
      </c>
      <c r="G33" s="30">
        <v>14</v>
      </c>
      <c r="H33" s="143">
        <v>11</v>
      </c>
      <c r="I33" s="143">
        <v>3</v>
      </c>
      <c r="J33" s="143"/>
      <c r="K33" s="143"/>
      <c r="L33" s="143"/>
      <c r="M33" s="144"/>
      <c r="N33" s="29" t="b">
        <f t="shared" si="0"/>
        <v>1</v>
      </c>
      <c r="O33" s="31">
        <f t="shared" ref="O33:O58" si="7">(5*H33+4*I33+3*J33+2*K33)/(G33-M33)</f>
        <v>4.7857142857142856</v>
      </c>
      <c r="P33" s="32">
        <f t="shared" ref="P33:P58" si="8">(SUM(H33:J33)/(G33-M33))</f>
        <v>1</v>
      </c>
      <c r="Q33" s="32">
        <f t="shared" ref="Q33:Q58" si="9">(SUM(H33:I33)/(G33-M33))</f>
        <v>1</v>
      </c>
      <c r="R33" s="32">
        <f t="shared" ref="R33:R58" si="10">(H33+I33*0.64+J33*0.36+K33*0.16)/(G33-M33)</f>
        <v>0.92285714285714282</v>
      </c>
      <c r="S33" s="33">
        <f t="shared" ref="S33:S58" si="11">(5*H33+4*I33)/((G33-M33)*5)</f>
        <v>0.95714285714285718</v>
      </c>
      <c r="T33" s="90">
        <f t="shared" si="6"/>
        <v>11.785714285714285</v>
      </c>
      <c r="U33" s="130">
        <f>IF($C33=0,"",INDEX(Список!I$6:I$85,MATCH($C33,Список_учителя,0)))</f>
        <v>36</v>
      </c>
      <c r="V33" s="145"/>
    </row>
    <row r="34" spans="1:22" ht="12" customHeight="1">
      <c r="A34" s="51">
        <v>63</v>
      </c>
      <c r="B34" s="54">
        <f>IF($A34=0,"",INDEX(Список!O$6:O$85,$A34))</f>
        <v>9</v>
      </c>
      <c r="C34" s="53" t="str">
        <f>IF(A34=0,"",INDEX(Список!M$6:M$85,A34))</f>
        <v>Самойленко Н. Ф.</v>
      </c>
      <c r="D34" s="53" t="str">
        <f>IF(A34=0,"",INDEX(Список!N$6:N$85,A34))</f>
        <v>Русский язык НШ</v>
      </c>
      <c r="E34" s="54">
        <f>VLOOKUP(D34,ШкалаТрудн!$C$5:$N$36,LEFT(F34,2)+1,0)</f>
        <v>7</v>
      </c>
      <c r="F34" s="27" t="s">
        <v>97</v>
      </c>
      <c r="G34" s="30">
        <v>15</v>
      </c>
      <c r="H34" s="143">
        <v>9</v>
      </c>
      <c r="I34" s="143">
        <v>5</v>
      </c>
      <c r="J34" s="143">
        <v>1</v>
      </c>
      <c r="K34" s="143"/>
      <c r="L34" s="143"/>
      <c r="M34" s="144"/>
      <c r="N34" s="29" t="b">
        <f t="shared" ref="N34:N58" si="12">G34=M34+L34+K34+J34+I34+H34</f>
        <v>1</v>
      </c>
      <c r="O34" s="31">
        <f t="shared" si="7"/>
        <v>4.5333333333333332</v>
      </c>
      <c r="P34" s="32">
        <f t="shared" si="8"/>
        <v>1</v>
      </c>
      <c r="Q34" s="32">
        <f t="shared" si="9"/>
        <v>0.93333333333333335</v>
      </c>
      <c r="R34" s="32">
        <f t="shared" si="10"/>
        <v>0.83733333333333326</v>
      </c>
      <c r="S34" s="33">
        <f t="shared" si="11"/>
        <v>0.8666666666666667</v>
      </c>
      <c r="T34" s="90">
        <f t="shared" ref="T34:T58" si="13">(O34+E34)-0.2*(K34+L34)</f>
        <v>11.533333333333333</v>
      </c>
      <c r="U34" s="130">
        <f>IF($C34=0,"",INDEX(Список!I$6:I$85,MATCH($C34,Список_учителя,0)))</f>
        <v>36</v>
      </c>
      <c r="V34" s="145"/>
    </row>
    <row r="35" spans="1:22" ht="12" customHeight="1">
      <c r="A35" s="51">
        <v>63</v>
      </c>
      <c r="B35" s="54">
        <f>IF($A35=0,"",INDEX(Список!O$6:O$85,$A35))</f>
        <v>9</v>
      </c>
      <c r="C35" s="53" t="str">
        <f>IF(A35=0,"",INDEX(Список!M$6:M$85,A35))</f>
        <v>Самойленко Н. Ф.</v>
      </c>
      <c r="D35" s="53" t="str">
        <f>IF(A35=0,"",INDEX(Список!N$6:N$85,A35))</f>
        <v>Русский язык НШ</v>
      </c>
      <c r="E35" s="54">
        <f>VLOOKUP(D35,ШкалаТрудн!$C$5:$N$36,LEFT(F35,2)+1,0)</f>
        <v>7</v>
      </c>
      <c r="F35" s="27" t="s">
        <v>98</v>
      </c>
      <c r="G35" s="30">
        <v>14</v>
      </c>
      <c r="H35" s="143">
        <v>6</v>
      </c>
      <c r="I35" s="143">
        <v>8</v>
      </c>
      <c r="J35" s="143"/>
      <c r="K35" s="143"/>
      <c r="L35" s="143"/>
      <c r="M35" s="144"/>
      <c r="N35" s="29" t="b">
        <f t="shared" si="12"/>
        <v>1</v>
      </c>
      <c r="O35" s="31">
        <f t="shared" si="7"/>
        <v>4.4285714285714288</v>
      </c>
      <c r="P35" s="32">
        <f t="shared" si="8"/>
        <v>1</v>
      </c>
      <c r="Q35" s="32">
        <f t="shared" si="9"/>
        <v>1</v>
      </c>
      <c r="R35" s="32">
        <f t="shared" si="10"/>
        <v>0.79428571428571437</v>
      </c>
      <c r="S35" s="33">
        <f t="shared" si="11"/>
        <v>0.88571428571428568</v>
      </c>
      <c r="T35" s="90">
        <f t="shared" si="13"/>
        <v>11.428571428571429</v>
      </c>
      <c r="U35" s="130">
        <f>IF($C35=0,"",INDEX(Список!I$6:I$85,MATCH($C35,Список_учителя,0)))</f>
        <v>36</v>
      </c>
      <c r="V35" s="145"/>
    </row>
    <row r="36" spans="1:22" ht="12" customHeight="1">
      <c r="A36" s="51">
        <v>12</v>
      </c>
      <c r="B36" s="54">
        <f>IF($A36=0,"",INDEX(Список!O$6:O$85,$A36))</f>
        <v>9</v>
      </c>
      <c r="C36" s="53" t="str">
        <f>IF(A36=0,"",INDEX(Список!M$6:M$85,A36))</f>
        <v>Гвоздкова О. А.</v>
      </c>
      <c r="D36" s="53" t="str">
        <f>IF(A36=0,"",INDEX(Список!N$6:N$85,A36))</f>
        <v>Литература НШ</v>
      </c>
      <c r="E36" s="54">
        <f>VLOOKUP(D36,ШкалаТрудн!$C$5:$N$36,LEFT(F36,2)+1,0)</f>
        <v>5</v>
      </c>
      <c r="F36" s="27" t="s">
        <v>98</v>
      </c>
      <c r="G36" s="28">
        <v>14</v>
      </c>
      <c r="H36" s="143">
        <v>13</v>
      </c>
      <c r="I36" s="143">
        <v>1</v>
      </c>
      <c r="J36" s="143"/>
      <c r="K36" s="143"/>
      <c r="L36" s="143"/>
      <c r="M36" s="144"/>
      <c r="N36" s="29" t="b">
        <f t="shared" si="12"/>
        <v>1</v>
      </c>
      <c r="O36" s="31">
        <f t="shared" si="7"/>
        <v>4.9285714285714288</v>
      </c>
      <c r="P36" s="32">
        <f t="shared" si="8"/>
        <v>1</v>
      </c>
      <c r="Q36" s="32">
        <f t="shared" si="9"/>
        <v>1</v>
      </c>
      <c r="R36" s="32">
        <f t="shared" si="10"/>
        <v>0.97428571428571431</v>
      </c>
      <c r="S36" s="33">
        <f t="shared" si="11"/>
        <v>0.98571428571428577</v>
      </c>
      <c r="T36" s="90">
        <f t="shared" si="13"/>
        <v>9.9285714285714288</v>
      </c>
      <c r="U36" s="130" t="e">
        <f>IF($C36=0,"",INDEX(Список!I$6:I$85,MATCH($C36,Список_учителя,0)))</f>
        <v>#N/A</v>
      </c>
      <c r="V36" s="145"/>
    </row>
    <row r="37" spans="1:22" ht="12" customHeight="1">
      <c r="A37" s="51">
        <v>63</v>
      </c>
      <c r="B37" s="54">
        <f>IF($A37=0,"",INDEX(Список!O$6:O$85,$A37))</f>
        <v>9</v>
      </c>
      <c r="C37" s="53" t="str">
        <f>IF(A37=0,"",INDEX(Список!M$6:M$85,A37))</f>
        <v>Самойленко Н. Ф.</v>
      </c>
      <c r="D37" s="53" t="str">
        <f>IF(A37=0,"",INDEX(Список!N$6:N$85,A37))</f>
        <v>Русский язык НШ</v>
      </c>
      <c r="E37" s="54">
        <f>VLOOKUP(D37,ШкалаТрудн!$C$5:$N$36,LEFT(F37,2)+1,0)</f>
        <v>7</v>
      </c>
      <c r="F37" s="27" t="s">
        <v>99</v>
      </c>
      <c r="G37" s="30">
        <v>10</v>
      </c>
      <c r="H37" s="143">
        <v>8</v>
      </c>
      <c r="I37" s="143">
        <v>1</v>
      </c>
      <c r="J37" s="143">
        <v>1</v>
      </c>
      <c r="K37" s="143"/>
      <c r="L37" s="143"/>
      <c r="M37" s="144"/>
      <c r="N37" s="29" t="b">
        <f t="shared" si="12"/>
        <v>1</v>
      </c>
      <c r="O37" s="31">
        <f t="shared" si="7"/>
        <v>4.7</v>
      </c>
      <c r="P37" s="32">
        <f t="shared" si="8"/>
        <v>1</v>
      </c>
      <c r="Q37" s="32">
        <f t="shared" si="9"/>
        <v>0.9</v>
      </c>
      <c r="R37" s="32">
        <f t="shared" si="10"/>
        <v>0.9</v>
      </c>
      <c r="S37" s="33">
        <f t="shared" si="11"/>
        <v>0.88</v>
      </c>
      <c r="T37" s="90">
        <f t="shared" si="13"/>
        <v>11.7</v>
      </c>
      <c r="U37" s="130">
        <f>IF($C37=0,"",INDEX(Список!I$6:I$85,MATCH($C37,Список_учителя,0)))</f>
        <v>36</v>
      </c>
      <c r="V37" s="145"/>
    </row>
    <row r="38" spans="1:22" ht="12" customHeight="1">
      <c r="A38" s="51">
        <v>12</v>
      </c>
      <c r="B38" s="54">
        <f>IF($A38=0,"",INDEX(Список!O$6:O$85,$A38))</f>
        <v>9</v>
      </c>
      <c r="C38" s="53" t="str">
        <f>IF(A38=0,"",INDEX(Список!M$6:M$85,A38))</f>
        <v>Гвоздкова О. А.</v>
      </c>
      <c r="D38" s="53" t="str">
        <f>IF(A38=0,"",INDEX(Список!N$6:N$85,A38))</f>
        <v>Литература НШ</v>
      </c>
      <c r="E38" s="54">
        <f>VLOOKUP(D38,ШкалаТрудн!$C$5:$N$36,LEFT(F38,2)+1,0)</f>
        <v>5</v>
      </c>
      <c r="F38" s="27" t="s">
        <v>99</v>
      </c>
      <c r="G38" s="30">
        <v>10</v>
      </c>
      <c r="H38" s="143">
        <v>8</v>
      </c>
      <c r="I38" s="143">
        <v>2</v>
      </c>
      <c r="J38" s="143"/>
      <c r="K38" s="143"/>
      <c r="L38" s="143"/>
      <c r="M38" s="144"/>
      <c r="N38" s="29" t="b">
        <f t="shared" si="12"/>
        <v>1</v>
      </c>
      <c r="O38" s="31">
        <f t="shared" si="7"/>
        <v>4.8</v>
      </c>
      <c r="P38" s="32">
        <f t="shared" si="8"/>
        <v>1</v>
      </c>
      <c r="Q38" s="32">
        <f t="shared" si="9"/>
        <v>1</v>
      </c>
      <c r="R38" s="32">
        <f t="shared" si="10"/>
        <v>0.92799999999999994</v>
      </c>
      <c r="S38" s="33">
        <f t="shared" si="11"/>
        <v>0.96</v>
      </c>
      <c r="T38" s="90">
        <f t="shared" si="13"/>
        <v>9.8000000000000007</v>
      </c>
      <c r="U38" s="130" t="e">
        <f>IF($C38=0,"",INDEX(Список!I$6:I$85,MATCH($C38,Список_учителя,0)))</f>
        <v>#N/A</v>
      </c>
      <c r="V38" s="145"/>
    </row>
    <row r="39" spans="1:22" ht="12" customHeight="1">
      <c r="A39" s="51">
        <v>63</v>
      </c>
      <c r="B39" s="54">
        <f>IF($A39=0,"",INDEX(Список!O$6:O$85,$A39))</f>
        <v>9</v>
      </c>
      <c r="C39" s="53" t="str">
        <f>IF(A39=0,"",INDEX(Список!M$6:M$85,A39))</f>
        <v>Самойленко Н. Ф.</v>
      </c>
      <c r="D39" s="53" t="str">
        <f>IF(A39=0,"",INDEX(Список!N$6:N$85,A39))</f>
        <v>Русский язык НШ</v>
      </c>
      <c r="E39" s="54">
        <f>VLOOKUP(D39,ШкалаТрудн!$C$5:$N$36,LEFT(F39,2)+1,0)</f>
        <v>7</v>
      </c>
      <c r="F39" s="27" t="s">
        <v>100</v>
      </c>
      <c r="G39" s="30">
        <v>10</v>
      </c>
      <c r="H39" s="143">
        <v>6</v>
      </c>
      <c r="I39" s="143">
        <v>4</v>
      </c>
      <c r="J39" s="143"/>
      <c r="K39" s="143"/>
      <c r="L39" s="143"/>
      <c r="M39" s="144"/>
      <c r="N39" s="29" t="b">
        <f t="shared" si="12"/>
        <v>1</v>
      </c>
      <c r="O39" s="31">
        <f t="shared" si="7"/>
        <v>4.5999999999999996</v>
      </c>
      <c r="P39" s="32">
        <f t="shared" si="8"/>
        <v>1</v>
      </c>
      <c r="Q39" s="32">
        <f t="shared" si="9"/>
        <v>1</v>
      </c>
      <c r="R39" s="32">
        <f t="shared" si="10"/>
        <v>0.85600000000000009</v>
      </c>
      <c r="S39" s="33">
        <f t="shared" si="11"/>
        <v>0.92</v>
      </c>
      <c r="T39" s="90">
        <f t="shared" si="13"/>
        <v>11.6</v>
      </c>
      <c r="U39" s="130">
        <f>IF($C39=0,"",INDEX(Список!I$6:I$85,MATCH($C39,Список_учителя,0)))</f>
        <v>36</v>
      </c>
      <c r="V39" s="145"/>
    </row>
    <row r="40" spans="1:22" ht="12" customHeight="1">
      <c r="A40" s="51">
        <v>12</v>
      </c>
      <c r="B40" s="54">
        <f>IF($A40=0,"",INDEX(Список!O$6:O$85,$A40))</f>
        <v>9</v>
      </c>
      <c r="C40" s="53" t="str">
        <f>IF(A40=0,"",INDEX(Список!M$6:M$85,A40))</f>
        <v>Гвоздкова О. А.</v>
      </c>
      <c r="D40" s="53" t="str">
        <f>IF(A40=0,"",INDEX(Список!N$6:N$85,A40))</f>
        <v>Литература НШ</v>
      </c>
      <c r="E40" s="54">
        <f>VLOOKUP(D40,ШкалаТрудн!$C$5:$N$36,LEFT(F40,2)+1,0)</f>
        <v>5</v>
      </c>
      <c r="F40" s="27" t="s">
        <v>101</v>
      </c>
      <c r="G40" s="30">
        <v>11</v>
      </c>
      <c r="H40" s="143">
        <v>3</v>
      </c>
      <c r="I40" s="143">
        <v>6</v>
      </c>
      <c r="J40" s="143">
        <v>2</v>
      </c>
      <c r="K40" s="143"/>
      <c r="L40" s="143"/>
      <c r="M40" s="144"/>
      <c r="N40" s="29" t="b">
        <f t="shared" si="12"/>
        <v>1</v>
      </c>
      <c r="O40" s="31">
        <f t="shared" si="7"/>
        <v>4.0909090909090908</v>
      </c>
      <c r="P40" s="32">
        <f t="shared" si="8"/>
        <v>1</v>
      </c>
      <c r="Q40" s="32">
        <f t="shared" si="9"/>
        <v>0.81818181818181823</v>
      </c>
      <c r="R40" s="32">
        <f t="shared" si="10"/>
        <v>0.68727272727272726</v>
      </c>
      <c r="S40" s="33">
        <f t="shared" si="11"/>
        <v>0.70909090909090911</v>
      </c>
      <c r="T40" s="90">
        <f t="shared" si="13"/>
        <v>9.0909090909090899</v>
      </c>
      <c r="U40" s="130" t="e">
        <f>IF($C40=0,"",INDEX(Список!I$6:I$85,MATCH($C40,Список_учителя,0)))</f>
        <v>#N/A</v>
      </c>
      <c r="V40" s="145"/>
    </row>
    <row r="41" spans="1:22" ht="12" customHeight="1">
      <c r="A41" s="51">
        <v>12</v>
      </c>
      <c r="B41" s="54">
        <f>IF($A41=0,"",INDEX(Список!O$6:O$85,$A41))</f>
        <v>9</v>
      </c>
      <c r="C41" s="53" t="str">
        <f>IF(A41=0,"",INDEX(Список!M$6:M$85,A41))</f>
        <v>Гвоздкова О. А.</v>
      </c>
      <c r="D41" s="53" t="str">
        <f>IF(A41=0,"",INDEX(Список!N$6:N$85,A41))</f>
        <v>Литература НШ</v>
      </c>
      <c r="E41" s="54">
        <f>VLOOKUP(D41,ШкалаТрудн!$C$5:$N$36,LEFT(F41,2)+1,0)</f>
        <v>5</v>
      </c>
      <c r="F41" s="27" t="s">
        <v>103</v>
      </c>
      <c r="G41" s="30">
        <v>15</v>
      </c>
      <c r="H41" s="143">
        <v>2</v>
      </c>
      <c r="I41" s="143">
        <v>11</v>
      </c>
      <c r="J41" s="143">
        <v>2</v>
      </c>
      <c r="K41" s="143"/>
      <c r="L41" s="143"/>
      <c r="M41" s="144"/>
      <c r="N41" s="29" t="b">
        <f t="shared" si="12"/>
        <v>1</v>
      </c>
      <c r="O41" s="31">
        <f t="shared" si="7"/>
        <v>4</v>
      </c>
      <c r="P41" s="32">
        <f t="shared" si="8"/>
        <v>1</v>
      </c>
      <c r="Q41" s="32">
        <f t="shared" si="9"/>
        <v>0.8666666666666667</v>
      </c>
      <c r="R41" s="32">
        <f t="shared" si="10"/>
        <v>0.65066666666666662</v>
      </c>
      <c r="S41" s="33">
        <f t="shared" si="11"/>
        <v>0.72</v>
      </c>
      <c r="T41" s="90">
        <f t="shared" si="13"/>
        <v>9</v>
      </c>
      <c r="U41" s="130" t="e">
        <f>IF($C41=0,"",INDEX(Список!I$6:I$85,MATCH($C41,Список_учителя,0)))</f>
        <v>#N/A</v>
      </c>
      <c r="V41" s="145"/>
    </row>
    <row r="42" spans="1:22" ht="12" customHeight="1">
      <c r="A42" s="51">
        <v>72</v>
      </c>
      <c r="B42" s="54">
        <f>IF($A42=0,"",INDEX(Список!O$6:O$85,$A42))</f>
        <v>3</v>
      </c>
      <c r="C42" s="53" t="str">
        <f>IF(A42=0,"",INDEX(Список!M$6:M$85,A42))</f>
        <v xml:space="preserve">Тулинов Н. И. </v>
      </c>
      <c r="D42" s="53" t="str">
        <f>IF(A42=0,"",INDEX(Список!N$6:N$85,A42))</f>
        <v>Математика</v>
      </c>
      <c r="E42" s="54">
        <f>VLOOKUP(D42,ШкалаТрудн!$C$5:$N$36,LEFT(F42,2)+1,0)</f>
        <v>0</v>
      </c>
      <c r="F42" s="27" t="s">
        <v>106</v>
      </c>
      <c r="G42" s="30">
        <v>14</v>
      </c>
      <c r="H42" s="143">
        <v>7</v>
      </c>
      <c r="I42" s="143">
        <v>6</v>
      </c>
      <c r="J42" s="143">
        <v>1</v>
      </c>
      <c r="K42" s="143"/>
      <c r="L42" s="143"/>
      <c r="M42" s="144"/>
      <c r="N42" s="29" t="b">
        <f t="shared" si="12"/>
        <v>1</v>
      </c>
      <c r="O42" s="31">
        <f t="shared" si="7"/>
        <v>4.4285714285714288</v>
      </c>
      <c r="P42" s="32">
        <f t="shared" si="8"/>
        <v>1</v>
      </c>
      <c r="Q42" s="32">
        <f t="shared" si="9"/>
        <v>0.9285714285714286</v>
      </c>
      <c r="R42" s="32">
        <f t="shared" si="10"/>
        <v>0.79999999999999993</v>
      </c>
      <c r="S42" s="33">
        <f t="shared" si="11"/>
        <v>0.84285714285714286</v>
      </c>
      <c r="T42" s="90">
        <f t="shared" si="13"/>
        <v>4.4285714285714288</v>
      </c>
      <c r="U42" s="130">
        <f>IF($C42=0,"",INDEX(Список!I$6:I$85,MATCH($C42,Список_учителя,0)))</f>
        <v>39</v>
      </c>
      <c r="V42" s="145"/>
    </row>
    <row r="43" spans="1:22" ht="12" customHeight="1">
      <c r="A43" s="51">
        <v>63</v>
      </c>
      <c r="B43" s="54">
        <f>IF($A43=0,"",INDEX(Список!O$6:O$85,$A43))</f>
        <v>9</v>
      </c>
      <c r="C43" s="53" t="str">
        <f>IF(A43=0,"",INDEX(Список!M$6:M$85,A43))</f>
        <v>Самойленко Н. Ф.</v>
      </c>
      <c r="D43" s="53" t="str">
        <f>IF(A43=0,"",INDEX(Список!N$6:N$85,A43))</f>
        <v>Русский язык НШ</v>
      </c>
      <c r="E43" s="54">
        <f>VLOOKUP(D43,ШкалаТрудн!$C$5:$N$36,LEFT(F43,2)+1,0)</f>
        <v>7</v>
      </c>
      <c r="F43" s="27" t="s">
        <v>107</v>
      </c>
      <c r="G43" s="30">
        <v>10</v>
      </c>
      <c r="H43" s="143">
        <v>5</v>
      </c>
      <c r="I43" s="143">
        <v>5</v>
      </c>
      <c r="J43" s="143"/>
      <c r="K43" s="143"/>
      <c r="L43" s="143"/>
      <c r="M43" s="144"/>
      <c r="N43" s="29" t="b">
        <f t="shared" si="12"/>
        <v>1</v>
      </c>
      <c r="O43" s="31">
        <f t="shared" si="7"/>
        <v>4.5</v>
      </c>
      <c r="P43" s="32">
        <f t="shared" si="8"/>
        <v>1</v>
      </c>
      <c r="Q43" s="32">
        <f t="shared" si="9"/>
        <v>1</v>
      </c>
      <c r="R43" s="32">
        <f t="shared" si="10"/>
        <v>0.82</v>
      </c>
      <c r="S43" s="33">
        <f t="shared" si="11"/>
        <v>0.9</v>
      </c>
      <c r="T43" s="90">
        <f t="shared" si="13"/>
        <v>11.5</v>
      </c>
      <c r="U43" s="130">
        <f>IF($C43=0,"",INDEX(Список!I$6:I$85,MATCH($C43,Список_учителя,0)))</f>
        <v>36</v>
      </c>
      <c r="V43" s="145"/>
    </row>
    <row r="44" spans="1:22" ht="12" customHeight="1">
      <c r="A44" s="51">
        <v>63</v>
      </c>
      <c r="B44" s="54">
        <f>IF($A44=0,"",INDEX(Список!O$6:O$85,$A44))</f>
        <v>9</v>
      </c>
      <c r="C44" s="53" t="str">
        <f>IF(A44=0,"",INDEX(Список!M$6:M$85,A44))</f>
        <v>Самойленко Н. Ф.</v>
      </c>
      <c r="D44" s="53" t="str">
        <f>IF(A44=0,"",INDEX(Список!N$6:N$85,A44))</f>
        <v>Русский язык НШ</v>
      </c>
      <c r="E44" s="54">
        <f>VLOOKUP(D44,ШкалаТрудн!$C$5:$N$36,LEFT(F44,2)+1,0)</f>
        <v>7</v>
      </c>
      <c r="F44" s="27" t="s">
        <v>108</v>
      </c>
      <c r="G44" s="30">
        <v>13</v>
      </c>
      <c r="H44" s="143">
        <v>4</v>
      </c>
      <c r="I44" s="143">
        <v>6</v>
      </c>
      <c r="J44" s="143">
        <v>3</v>
      </c>
      <c r="K44" s="143"/>
      <c r="L44" s="143"/>
      <c r="M44" s="144"/>
      <c r="N44" s="29" t="b">
        <f t="shared" si="12"/>
        <v>1</v>
      </c>
      <c r="O44" s="31">
        <f t="shared" si="7"/>
        <v>4.0769230769230766</v>
      </c>
      <c r="P44" s="32">
        <f t="shared" si="8"/>
        <v>1</v>
      </c>
      <c r="Q44" s="32">
        <f t="shared" si="9"/>
        <v>0.76923076923076927</v>
      </c>
      <c r="R44" s="32">
        <f t="shared" si="10"/>
        <v>0.68615384615384611</v>
      </c>
      <c r="S44" s="33">
        <f t="shared" si="11"/>
        <v>0.67692307692307696</v>
      </c>
      <c r="T44" s="90">
        <f t="shared" si="13"/>
        <v>11.076923076923077</v>
      </c>
      <c r="U44" s="130">
        <f>IF($C44=0,"",INDEX(Список!I$6:I$85,MATCH($C44,Список_учителя,0)))</f>
        <v>36</v>
      </c>
      <c r="V44" s="145"/>
    </row>
    <row r="45" spans="1:22" ht="12" customHeight="1">
      <c r="A45" s="51">
        <v>30</v>
      </c>
      <c r="B45" s="54">
        <f>IF($A45=0,"",INDEX(Список!O$6:O$85,$A45))</f>
        <v>2</v>
      </c>
      <c r="C45" s="53" t="str">
        <f>IF(A45=0,"",INDEX(Список!M$6:M$85,A45))</f>
        <v>Кравченко Л. И.</v>
      </c>
      <c r="D45" s="53" t="str">
        <f>IF(A45=0,"",INDEX(Список!N$6:N$85,A45))</f>
        <v>Английский язык</v>
      </c>
      <c r="E45" s="54">
        <f>VLOOKUP(D45,ШкалаТрудн!$C$5:$N$36,LEFT(F45,2)+1,0)</f>
        <v>9</v>
      </c>
      <c r="F45" s="27" t="s">
        <v>112</v>
      </c>
      <c r="G45" s="30">
        <v>26</v>
      </c>
      <c r="H45" s="143">
        <v>2</v>
      </c>
      <c r="I45" s="143">
        <v>8</v>
      </c>
      <c r="J45" s="143">
        <v>15</v>
      </c>
      <c r="K45" s="143">
        <v>1</v>
      </c>
      <c r="L45" s="143"/>
      <c r="M45" s="144"/>
      <c r="N45" s="29" t="b">
        <f t="shared" si="12"/>
        <v>1</v>
      </c>
      <c r="O45" s="31">
        <f t="shared" si="7"/>
        <v>3.4230769230769229</v>
      </c>
      <c r="P45" s="32">
        <f t="shared" si="8"/>
        <v>0.96153846153846156</v>
      </c>
      <c r="Q45" s="32">
        <f t="shared" si="9"/>
        <v>0.38461538461538464</v>
      </c>
      <c r="R45" s="32">
        <f t="shared" si="10"/>
        <v>0.4876923076923077</v>
      </c>
      <c r="S45" s="33">
        <f t="shared" si="11"/>
        <v>0.32307692307692309</v>
      </c>
      <c r="T45" s="90">
        <f t="shared" si="13"/>
        <v>12.223076923076924</v>
      </c>
      <c r="U45" s="130">
        <f>IF($C45=0,"",INDEX(Список!I$6:I$85,MATCH($C45,Список_учителя,0)))</f>
        <v>15</v>
      </c>
      <c r="V45" s="145"/>
    </row>
    <row r="46" spans="1:22" ht="12" customHeight="1">
      <c r="A46" s="51">
        <v>3</v>
      </c>
      <c r="B46" s="54">
        <f>IF($A46=0,"",INDEX(Список!O$6:O$85,$A46))</f>
        <v>1</v>
      </c>
      <c r="C46" s="53" t="str">
        <f>IF(A46=0,"",INDEX(Список!M$6:M$85,A46))</f>
        <v>Алферова Н. М.</v>
      </c>
      <c r="D46" s="53" t="str">
        <f>IF(A46=0,"",INDEX(Список!N$6:N$85,A46))</f>
        <v>Литература</v>
      </c>
      <c r="E46" s="54">
        <f>VLOOKUP(D46,ШкалаТрудн!$C$5:$N$36,LEFT(F46,2)+1,0)</f>
        <v>4</v>
      </c>
      <c r="F46" s="27" t="s">
        <v>112</v>
      </c>
      <c r="G46" s="30">
        <v>26</v>
      </c>
      <c r="H46" s="143">
        <v>5</v>
      </c>
      <c r="I46" s="143">
        <v>17</v>
      </c>
      <c r="J46" s="143">
        <v>4</v>
      </c>
      <c r="K46" s="143"/>
      <c r="L46" s="143"/>
      <c r="M46" s="144"/>
      <c r="N46" s="29" t="b">
        <f t="shared" si="12"/>
        <v>1</v>
      </c>
      <c r="O46" s="31">
        <f t="shared" si="7"/>
        <v>4.0384615384615383</v>
      </c>
      <c r="P46" s="32">
        <f t="shared" si="8"/>
        <v>1</v>
      </c>
      <c r="Q46" s="32">
        <f t="shared" si="9"/>
        <v>0.84615384615384615</v>
      </c>
      <c r="R46" s="32">
        <f t="shared" si="10"/>
        <v>0.66615384615384621</v>
      </c>
      <c r="S46" s="33">
        <f t="shared" si="11"/>
        <v>0.7153846153846154</v>
      </c>
      <c r="T46" s="90">
        <f t="shared" si="13"/>
        <v>8.0384615384615383</v>
      </c>
      <c r="U46" s="130">
        <f>IF($C46=0,"",INDEX(Список!I$6:I$85,MATCH($C46,Список_учителя,0)))</f>
        <v>2</v>
      </c>
      <c r="V46" s="145"/>
    </row>
    <row r="47" spans="1:22" ht="12" customHeight="1">
      <c r="A47" s="51">
        <v>35</v>
      </c>
      <c r="B47" s="54">
        <f>IF($A47=0,"",INDEX(Список!O$6:O$85,$A47))</f>
        <v>4</v>
      </c>
      <c r="C47" s="53" t="str">
        <f>IF(A47=0,"",INDEX(Список!M$6:M$85,A47))</f>
        <v>Ланова Н.Ю.</v>
      </c>
      <c r="D47" s="53" t="str">
        <f>IF(A47=0,"",INDEX(Список!N$6:N$85,A47))</f>
        <v>Обществознание</v>
      </c>
      <c r="E47" s="54">
        <f>VLOOKUP(D47,ШкалаТрудн!$C$5:$N$36,LEFT(F47,2)+1,0)</f>
        <v>0</v>
      </c>
      <c r="F47" s="27" t="s">
        <v>112</v>
      </c>
      <c r="G47" s="30">
        <v>13</v>
      </c>
      <c r="H47" s="143">
        <v>2</v>
      </c>
      <c r="I47" s="143">
        <v>7</v>
      </c>
      <c r="J47" s="143">
        <v>4</v>
      </c>
      <c r="K47" s="143"/>
      <c r="L47" s="143"/>
      <c r="M47" s="144"/>
      <c r="N47" s="29" t="b">
        <f t="shared" si="12"/>
        <v>1</v>
      </c>
      <c r="O47" s="31">
        <f t="shared" si="7"/>
        <v>3.8461538461538463</v>
      </c>
      <c r="P47" s="32">
        <f t="shared" si="8"/>
        <v>1</v>
      </c>
      <c r="Q47" s="32">
        <f t="shared" si="9"/>
        <v>0.69230769230769229</v>
      </c>
      <c r="R47" s="32">
        <f t="shared" si="10"/>
        <v>0.60923076923076924</v>
      </c>
      <c r="S47" s="33">
        <f t="shared" si="11"/>
        <v>0.58461538461538465</v>
      </c>
      <c r="T47" s="90">
        <f t="shared" si="13"/>
        <v>3.8461538461538463</v>
      </c>
      <c r="U47" s="130">
        <f>IF($C47=0,"",INDEX(Список!I$6:I$85,MATCH($C47,Список_учителя,0)))</f>
        <v>18</v>
      </c>
      <c r="V47" s="145"/>
    </row>
    <row r="48" spans="1:22" ht="12" customHeight="1">
      <c r="A48" s="51">
        <v>10</v>
      </c>
      <c r="B48" s="54">
        <f>IF($A48=0,"",INDEX(Список!O$6:O$85,$A48))</f>
        <v>9</v>
      </c>
      <c r="C48" s="53" t="str">
        <f>IF(A48=0,"",INDEX(Список!M$6:M$85,A48))</f>
        <v>Ващенко Л. Ю.</v>
      </c>
      <c r="D48" s="53" t="str">
        <f>IF(A48=0,"",INDEX(Список!N$6:N$85,A48))</f>
        <v>Русский язык НШ</v>
      </c>
      <c r="E48" s="54">
        <f>VLOOKUP(D48,ШкалаТрудн!$C$5:$N$36,LEFT(F48,2)+1,0)</f>
        <v>0</v>
      </c>
      <c r="F48" s="27" t="s">
        <v>112</v>
      </c>
      <c r="G48" s="30">
        <v>26</v>
      </c>
      <c r="H48" s="143">
        <v>13</v>
      </c>
      <c r="I48" s="143">
        <v>9</v>
      </c>
      <c r="J48" s="143">
        <v>4</v>
      </c>
      <c r="K48" s="143"/>
      <c r="L48" s="143"/>
      <c r="M48" s="144"/>
      <c r="N48" s="29" t="b">
        <f t="shared" si="12"/>
        <v>1</v>
      </c>
      <c r="O48" s="31">
        <f t="shared" si="7"/>
        <v>4.3461538461538458</v>
      </c>
      <c r="P48" s="32">
        <f t="shared" si="8"/>
        <v>1</v>
      </c>
      <c r="Q48" s="32">
        <f t="shared" si="9"/>
        <v>0.84615384615384615</v>
      </c>
      <c r="R48" s="32">
        <f t="shared" si="10"/>
        <v>0.77692307692307694</v>
      </c>
      <c r="S48" s="33">
        <f t="shared" si="11"/>
        <v>0.77692307692307694</v>
      </c>
      <c r="T48" s="90">
        <f t="shared" si="13"/>
        <v>4.3461538461538458</v>
      </c>
      <c r="U48" s="130">
        <f>IF($C48=0,"",INDEX(Список!I$6:I$85,MATCH($C48,Список_учителя,0)))</f>
        <v>5</v>
      </c>
      <c r="V48" s="145"/>
    </row>
    <row r="49" spans="1:22" ht="12" customHeight="1">
      <c r="A49" s="51">
        <v>26</v>
      </c>
      <c r="B49" s="54">
        <f>IF($A49=0,"",INDEX(Список!O$6:O$85,$A49))</f>
        <v>1</v>
      </c>
      <c r="C49" s="53" t="str">
        <f>IF(A49=0,"",INDEX(Список!M$6:M$85,A49))</f>
        <v>Клочко А.М.</v>
      </c>
      <c r="D49" s="53" t="str">
        <f>IF(A49=0,"",INDEX(Список!N$6:N$85,A49))</f>
        <v>Русский язык</v>
      </c>
      <c r="E49" s="54">
        <f>VLOOKUP(D49,ШкалаТрудн!$C$5:$N$36,LEFT(F49,2)+1,0)</f>
        <v>8</v>
      </c>
      <c r="F49" s="27" t="s">
        <v>112</v>
      </c>
      <c r="G49" s="30">
        <v>13</v>
      </c>
      <c r="H49" s="143">
        <v>1</v>
      </c>
      <c r="I49" s="143">
        <v>10</v>
      </c>
      <c r="J49" s="143">
        <v>2</v>
      </c>
      <c r="K49" s="143"/>
      <c r="L49" s="143"/>
      <c r="M49" s="144"/>
      <c r="N49" s="29" t="b">
        <f t="shared" si="12"/>
        <v>1</v>
      </c>
      <c r="O49" s="31">
        <f t="shared" si="7"/>
        <v>3.9230769230769229</v>
      </c>
      <c r="P49" s="32">
        <f t="shared" si="8"/>
        <v>1</v>
      </c>
      <c r="Q49" s="32">
        <f t="shared" si="9"/>
        <v>0.84615384615384615</v>
      </c>
      <c r="R49" s="32">
        <f t="shared" si="10"/>
        <v>0.62461538461538468</v>
      </c>
      <c r="S49" s="33">
        <f t="shared" si="11"/>
        <v>0.69230769230769229</v>
      </c>
      <c r="T49" s="90">
        <f t="shared" si="13"/>
        <v>11.923076923076923</v>
      </c>
      <c r="U49" s="130" t="e">
        <f>IF($C49=0,"",INDEX(Список!I$6:I$85,MATCH($C49,Список_учителя,0)))</f>
        <v>#N/A</v>
      </c>
      <c r="V49" s="145"/>
    </row>
    <row r="50" spans="1:22" ht="12" customHeight="1">
      <c r="A50" s="51">
        <v>35</v>
      </c>
      <c r="B50" s="54">
        <f>IF($A50=0,"",INDEX(Список!O$6:O$85,$A50))</f>
        <v>4</v>
      </c>
      <c r="C50" s="53" t="str">
        <f>IF(A50=0,"",INDEX(Список!M$6:M$85,A50))</f>
        <v>Ланова Н.Ю.</v>
      </c>
      <c r="D50" s="53" t="str">
        <f>IF(A50=0,"",INDEX(Список!N$6:N$85,A50))</f>
        <v>Обществознание</v>
      </c>
      <c r="E50" s="54">
        <f>VLOOKUP(D50,ШкалаТрудн!$C$5:$N$36,LEFT(F50,2)+1,0)</f>
        <v>0</v>
      </c>
      <c r="F50" s="27" t="s">
        <v>113</v>
      </c>
      <c r="G50" s="30">
        <v>11</v>
      </c>
      <c r="H50" s="143">
        <v>5</v>
      </c>
      <c r="I50" s="143">
        <v>5</v>
      </c>
      <c r="J50" s="143">
        <v>1</v>
      </c>
      <c r="K50" s="143"/>
      <c r="L50" s="143"/>
      <c r="M50" s="144"/>
      <c r="N50" s="29" t="b">
        <f t="shared" si="12"/>
        <v>1</v>
      </c>
      <c r="O50" s="31">
        <f t="shared" si="7"/>
        <v>4.3636363636363633</v>
      </c>
      <c r="P50" s="32">
        <f t="shared" si="8"/>
        <v>1</v>
      </c>
      <c r="Q50" s="32">
        <f t="shared" si="9"/>
        <v>0.90909090909090906</v>
      </c>
      <c r="R50" s="32">
        <f t="shared" si="10"/>
        <v>0.77818181818181809</v>
      </c>
      <c r="S50" s="33">
        <f t="shared" si="11"/>
        <v>0.81818181818181823</v>
      </c>
      <c r="T50" s="90">
        <f t="shared" si="13"/>
        <v>4.3636363636363633</v>
      </c>
      <c r="U50" s="130">
        <f>IF($C50=0,"",INDEX(Список!I$6:I$85,MATCH($C50,Список_учителя,0)))</f>
        <v>18</v>
      </c>
      <c r="V50" s="145"/>
    </row>
    <row r="51" spans="1:22" ht="12" customHeight="1">
      <c r="A51" s="51">
        <v>19</v>
      </c>
      <c r="B51" s="54">
        <f>IF($A51=0,"",INDEX(Список!O$6:O$85,$A51))</f>
        <v>1</v>
      </c>
      <c r="C51" s="53" t="str">
        <f>IF(A51=0,"",INDEX(Список!M$6:M$85,A51))</f>
        <v>Зайцева Н. А.</v>
      </c>
      <c r="D51" s="53" t="str">
        <f>IF(A51=0,"",INDEX(Список!N$6:N$85,A51))</f>
        <v>Русский язык</v>
      </c>
      <c r="E51" s="54">
        <f>VLOOKUP(D51,ШкалаТрудн!$C$5:$N$36,LEFT(F51,2)+1,0)</f>
        <v>8</v>
      </c>
      <c r="F51" s="27" t="s">
        <v>113</v>
      </c>
      <c r="G51" s="30">
        <v>10</v>
      </c>
      <c r="H51" s="143">
        <v>2</v>
      </c>
      <c r="I51" s="143">
        <v>6</v>
      </c>
      <c r="J51" s="143">
        <v>2</v>
      </c>
      <c r="K51" s="143"/>
      <c r="L51" s="143"/>
      <c r="M51" s="144"/>
      <c r="N51" s="29" t="b">
        <f t="shared" si="12"/>
        <v>1</v>
      </c>
      <c r="O51" s="31">
        <f t="shared" si="7"/>
        <v>4</v>
      </c>
      <c r="P51" s="32">
        <f t="shared" si="8"/>
        <v>1</v>
      </c>
      <c r="Q51" s="32">
        <f t="shared" si="9"/>
        <v>0.8</v>
      </c>
      <c r="R51" s="32">
        <f t="shared" si="10"/>
        <v>0.65599999999999992</v>
      </c>
      <c r="S51" s="33">
        <f t="shared" si="11"/>
        <v>0.68</v>
      </c>
      <c r="T51" s="90">
        <f t="shared" si="13"/>
        <v>12</v>
      </c>
      <c r="U51" s="130">
        <f>IF($C51=0,"",INDEX(Список!I$6:I$85,MATCH($C51,Список_учителя,0)))</f>
        <v>8</v>
      </c>
      <c r="V51" s="145"/>
    </row>
    <row r="52" spans="1:22" ht="12" customHeight="1">
      <c r="A52" s="51">
        <v>10</v>
      </c>
      <c r="B52" s="54">
        <f>IF($A52=0,"",INDEX(Список!O$6:O$85,$A52))</f>
        <v>9</v>
      </c>
      <c r="C52" s="53" t="str">
        <f>IF(A52=0,"",INDEX(Список!M$6:M$85,A52))</f>
        <v>Ващенко Л. Ю.</v>
      </c>
      <c r="D52" s="53" t="str">
        <f>IF(A52=0,"",INDEX(Список!N$6:N$85,A52))</f>
        <v>Русский язык НШ</v>
      </c>
      <c r="E52" s="54">
        <f>VLOOKUP(D52,ШкалаТрудн!$C$5:$N$36,LEFT(F52,2)+1,0)</f>
        <v>0</v>
      </c>
      <c r="F52" s="27" t="s">
        <v>113</v>
      </c>
      <c r="G52" s="30">
        <v>31</v>
      </c>
      <c r="H52" s="143">
        <v>10</v>
      </c>
      <c r="I52" s="143">
        <v>18</v>
      </c>
      <c r="J52" s="143">
        <v>3</v>
      </c>
      <c r="K52" s="143"/>
      <c r="L52" s="143"/>
      <c r="M52" s="144"/>
      <c r="N52" s="29" t="b">
        <f t="shared" si="12"/>
        <v>1</v>
      </c>
      <c r="O52" s="31">
        <f t="shared" si="7"/>
        <v>4.225806451612903</v>
      </c>
      <c r="P52" s="32">
        <f t="shared" si="8"/>
        <v>1</v>
      </c>
      <c r="Q52" s="32">
        <f t="shared" si="9"/>
        <v>0.90322580645161288</v>
      </c>
      <c r="R52" s="32">
        <f t="shared" si="10"/>
        <v>0.72903225806451621</v>
      </c>
      <c r="S52" s="33">
        <f t="shared" si="11"/>
        <v>0.7870967741935484</v>
      </c>
      <c r="T52" s="90">
        <f t="shared" si="13"/>
        <v>4.225806451612903</v>
      </c>
      <c r="U52" s="130">
        <f>IF($C52=0,"",INDEX(Список!I$6:I$85,MATCH($C52,Список_учителя,0)))</f>
        <v>5</v>
      </c>
      <c r="V52" s="145"/>
    </row>
    <row r="53" spans="1:22" ht="12" customHeight="1">
      <c r="A53" s="141">
        <v>26</v>
      </c>
      <c r="B53" s="54">
        <f>IF($A53=0,"",INDEX(Список!O$6:O$85,$A53))</f>
        <v>1</v>
      </c>
      <c r="C53" s="53" t="str">
        <f>IF(A53=0,"",INDEX(Список!M$6:M$85,A53))</f>
        <v>Клочко А.М.</v>
      </c>
      <c r="D53" s="53" t="str">
        <f>IF(A53=0,"",INDEX(Список!N$6:N$85,A53))</f>
        <v>Русский язык</v>
      </c>
      <c r="E53" s="54">
        <f>VLOOKUP(D53,ШкалаТрудн!$C$5:$N$36,LEFT(F53,2)+1,0)</f>
        <v>8</v>
      </c>
      <c r="F53" s="27" t="s">
        <v>113</v>
      </c>
      <c r="G53" s="30">
        <v>17</v>
      </c>
      <c r="H53" s="143">
        <v>12</v>
      </c>
      <c r="I53" s="143">
        <v>5</v>
      </c>
      <c r="J53" s="143"/>
      <c r="K53" s="143"/>
      <c r="L53" s="143"/>
      <c r="M53" s="144"/>
      <c r="N53" s="29" t="b">
        <f t="shared" si="12"/>
        <v>1</v>
      </c>
      <c r="O53" s="31">
        <f t="shared" si="7"/>
        <v>4.7058823529411766</v>
      </c>
      <c r="P53" s="32">
        <f t="shared" si="8"/>
        <v>1</v>
      </c>
      <c r="Q53" s="32">
        <f t="shared" si="9"/>
        <v>1</v>
      </c>
      <c r="R53" s="32">
        <f t="shared" si="10"/>
        <v>0.89411764705882346</v>
      </c>
      <c r="S53" s="33">
        <f t="shared" si="11"/>
        <v>0.94117647058823528</v>
      </c>
      <c r="T53" s="90">
        <f t="shared" si="13"/>
        <v>12.705882352941178</v>
      </c>
      <c r="U53" s="130" t="e">
        <f>IF($C53=0,"",INDEX(Список!I$6:I$85,MATCH($C53,Список_учителя,0)))</f>
        <v>#N/A</v>
      </c>
      <c r="V53" s="145"/>
    </row>
    <row r="54" spans="1:22" ht="12" customHeight="1">
      <c r="A54" s="141">
        <v>75</v>
      </c>
      <c r="B54" s="54">
        <f>IF($A54=0,"",INDEX(Список!O$6:O$85,$A54))</f>
        <v>9</v>
      </c>
      <c r="C54" s="53" t="str">
        <f>IF(A54=0,"",INDEX(Список!M$6:M$85,A54))</f>
        <v>Юркова М. Ю.</v>
      </c>
      <c r="D54" s="53" t="str">
        <f>IF(A54=0,"",INDEX(Список!N$6:N$85,A54))</f>
        <v>Математика НШ</v>
      </c>
      <c r="E54" s="54">
        <f>VLOOKUP(D54,ШкалаТрудн!$C$5:$N$36,LEFT(F54,2)+1,0)</f>
        <v>0</v>
      </c>
      <c r="F54" s="27" t="s">
        <v>114</v>
      </c>
      <c r="G54" s="30">
        <v>29</v>
      </c>
      <c r="H54" s="143">
        <v>4</v>
      </c>
      <c r="I54" s="143">
        <v>15</v>
      </c>
      <c r="J54" s="143">
        <v>10</v>
      </c>
      <c r="K54" s="143"/>
      <c r="L54" s="143"/>
      <c r="M54" s="144"/>
      <c r="N54" s="29" t="b">
        <f t="shared" si="12"/>
        <v>1</v>
      </c>
      <c r="O54" s="31">
        <f t="shared" si="7"/>
        <v>3.7931034482758621</v>
      </c>
      <c r="P54" s="32">
        <f t="shared" si="8"/>
        <v>1</v>
      </c>
      <c r="Q54" s="32">
        <f t="shared" si="9"/>
        <v>0.65517241379310343</v>
      </c>
      <c r="R54" s="32">
        <f t="shared" si="10"/>
        <v>0.59310344827586203</v>
      </c>
      <c r="S54" s="33">
        <f t="shared" si="11"/>
        <v>0.55172413793103448</v>
      </c>
      <c r="T54" s="90">
        <f t="shared" si="13"/>
        <v>3.7931034482758621</v>
      </c>
      <c r="U54" s="130">
        <f>IF($C54=0,"",INDEX(Список!I$6:I$85,MATCH($C54,Список_учителя,0)))</f>
        <v>42</v>
      </c>
      <c r="V54" s="145"/>
    </row>
    <row r="55" spans="1:22" ht="12" customHeight="1">
      <c r="A55" s="52">
        <v>74</v>
      </c>
      <c r="B55" s="54">
        <f>IF($A55=0,"",INDEX(Список!O$6:O$85,$A55))</f>
        <v>9</v>
      </c>
      <c r="C55" s="53" t="str">
        <f>IF(A55=0,"",INDEX(Список!M$6:M$85,A55))</f>
        <v>Юркова М. Ю.</v>
      </c>
      <c r="D55" s="53" t="str">
        <f>IF(A55=0,"",INDEX(Список!N$6:N$85,A55))</f>
        <v>Литература НШ</v>
      </c>
      <c r="E55" s="54">
        <f>VLOOKUP(D55,ШкалаТрудн!$C$5:$N$36,LEFT(F55,2)+1,0)</f>
        <v>0</v>
      </c>
      <c r="F55" s="27" t="s">
        <v>114</v>
      </c>
      <c r="G55" s="30">
        <v>29</v>
      </c>
      <c r="H55" s="143">
        <v>21</v>
      </c>
      <c r="I55" s="143">
        <v>4</v>
      </c>
      <c r="J55" s="143">
        <v>4</v>
      </c>
      <c r="K55" s="143"/>
      <c r="L55" s="143"/>
      <c r="M55" s="144"/>
      <c r="N55" s="29" t="b">
        <f t="shared" si="12"/>
        <v>1</v>
      </c>
      <c r="O55" s="31">
        <f t="shared" si="7"/>
        <v>4.5862068965517242</v>
      </c>
      <c r="P55" s="32">
        <f t="shared" si="8"/>
        <v>1</v>
      </c>
      <c r="Q55" s="32">
        <f t="shared" si="9"/>
        <v>0.86206896551724133</v>
      </c>
      <c r="R55" s="32">
        <f t="shared" si="10"/>
        <v>0.86206896551724133</v>
      </c>
      <c r="S55" s="33">
        <f t="shared" si="11"/>
        <v>0.83448275862068966</v>
      </c>
      <c r="T55" s="90">
        <f t="shared" si="13"/>
        <v>4.5862068965517242</v>
      </c>
      <c r="U55" s="130">
        <f>IF($C55=0,"",INDEX(Список!I$6:I$85,MATCH($C55,Список_учителя,0)))</f>
        <v>42</v>
      </c>
      <c r="V55" s="145"/>
    </row>
    <row r="56" spans="1:22" ht="12" customHeight="1">
      <c r="A56" s="141">
        <v>52</v>
      </c>
      <c r="B56" s="54">
        <f>IF($A56=0,"",INDEX(Список!O$6:O$85,$A56))</f>
        <v>1</v>
      </c>
      <c r="C56" s="53" t="str">
        <f>IF(A56=0,"",INDEX(Список!M$6:M$85,A56))</f>
        <v>Полунина В. В.</v>
      </c>
      <c r="D56" s="53" t="str">
        <f>IF(A56=0,"",INDEX(Список!N$6:N$85,A56))</f>
        <v>Литература</v>
      </c>
      <c r="E56" s="54">
        <f>VLOOKUP(D56,ШкалаТрудн!$C$5:$N$36,LEFT(F56,2)+1,0)</f>
        <v>4</v>
      </c>
      <c r="F56" s="27" t="s">
        <v>114</v>
      </c>
      <c r="G56" s="30">
        <v>15</v>
      </c>
      <c r="H56" s="143">
        <v>7</v>
      </c>
      <c r="I56" s="143">
        <v>6</v>
      </c>
      <c r="J56" s="143">
        <v>2</v>
      </c>
      <c r="K56" s="143"/>
      <c r="L56" s="143"/>
      <c r="M56" s="144"/>
      <c r="N56" s="29" t="b">
        <f t="shared" si="12"/>
        <v>1</v>
      </c>
      <c r="O56" s="31">
        <f t="shared" si="7"/>
        <v>4.333333333333333</v>
      </c>
      <c r="P56" s="32">
        <f t="shared" si="8"/>
        <v>1</v>
      </c>
      <c r="Q56" s="32">
        <f t="shared" si="9"/>
        <v>0.8666666666666667</v>
      </c>
      <c r="R56" s="32">
        <f t="shared" si="10"/>
        <v>0.77066666666666672</v>
      </c>
      <c r="S56" s="33">
        <f t="shared" si="11"/>
        <v>0.78666666666666663</v>
      </c>
      <c r="T56" s="90">
        <f t="shared" si="13"/>
        <v>8.3333333333333321</v>
      </c>
      <c r="U56" s="130">
        <f>IF($C56=0,"",INDEX(Список!I$6:I$85,MATCH($C56,Список_учителя,0)))</f>
        <v>30</v>
      </c>
      <c r="V56" s="145"/>
    </row>
    <row r="57" spans="1:22" ht="12" customHeight="1">
      <c r="A57" s="141">
        <v>62</v>
      </c>
      <c r="B57" s="54">
        <f>IF($A57=0,"",INDEX(Список!O$6:O$85,$A57))</f>
        <v>9</v>
      </c>
      <c r="C57" s="53" t="str">
        <f>IF(A57=0,"",INDEX(Список!M$6:M$85,A57))</f>
        <v>Самойленко Н. Ф.</v>
      </c>
      <c r="D57" s="53" t="str">
        <f>IF(A57=0,"",INDEX(Список!N$6:N$85,A57))</f>
        <v>Естествознание НШ</v>
      </c>
      <c r="E57" s="54">
        <f>VLOOKUP(D57,ШкалаТрудн!$C$5:$N$36,LEFT(F57,2)+1,0)</f>
        <v>0</v>
      </c>
      <c r="F57" s="27" t="s">
        <v>114</v>
      </c>
      <c r="G57" s="30">
        <v>14</v>
      </c>
      <c r="H57" s="143">
        <v>6</v>
      </c>
      <c r="I57" s="143">
        <v>6</v>
      </c>
      <c r="J57" s="143">
        <v>2</v>
      </c>
      <c r="K57" s="143"/>
      <c r="L57" s="143"/>
      <c r="M57" s="144"/>
      <c r="N57" s="29" t="b">
        <f t="shared" si="12"/>
        <v>1</v>
      </c>
      <c r="O57" s="31">
        <f t="shared" si="7"/>
        <v>4.2857142857142856</v>
      </c>
      <c r="P57" s="32">
        <f t="shared" si="8"/>
        <v>1</v>
      </c>
      <c r="Q57" s="32">
        <f t="shared" si="9"/>
        <v>0.8571428571428571</v>
      </c>
      <c r="R57" s="32">
        <f t="shared" si="10"/>
        <v>0.75428571428571434</v>
      </c>
      <c r="S57" s="33">
        <f t="shared" si="11"/>
        <v>0.77142857142857146</v>
      </c>
      <c r="T57" s="90">
        <f t="shared" si="13"/>
        <v>4.2857142857142856</v>
      </c>
      <c r="U57" s="130">
        <f>IF($C57=0,"",INDEX(Список!I$6:I$85,MATCH($C57,Список_учителя,0)))</f>
        <v>36</v>
      </c>
      <c r="V57" s="145"/>
    </row>
    <row r="58" spans="1:22" ht="12" customHeight="1">
      <c r="A58" s="52">
        <v>10</v>
      </c>
      <c r="B58" s="54">
        <f>IF($A58=0,"",INDEX(Список!O$6:O$85,$A58))</f>
        <v>9</v>
      </c>
      <c r="C58" s="53" t="str">
        <f>IF(A58=0,"",INDEX(Список!M$6:M$85,A58))</f>
        <v>Ващенко Л. Ю.</v>
      </c>
      <c r="D58" s="53" t="str">
        <f>IF(A58=0,"",INDEX(Список!N$6:N$85,A58))</f>
        <v>Русский язык НШ</v>
      </c>
      <c r="E58" s="54">
        <f>VLOOKUP(D58,ШкалаТрудн!$C$5:$N$36,LEFT(F58,2)+1,0)</f>
        <v>0</v>
      </c>
      <c r="F58" s="27" t="s">
        <v>114</v>
      </c>
      <c r="G58" s="30">
        <v>29</v>
      </c>
      <c r="H58" s="143">
        <v>20</v>
      </c>
      <c r="I58" s="143">
        <v>8</v>
      </c>
      <c r="J58" s="143">
        <v>1</v>
      </c>
      <c r="K58" s="143"/>
      <c r="L58" s="143"/>
      <c r="M58" s="144"/>
      <c r="N58" s="29" t="b">
        <f t="shared" si="12"/>
        <v>1</v>
      </c>
      <c r="O58" s="31">
        <f t="shared" si="7"/>
        <v>4.6551724137931032</v>
      </c>
      <c r="P58" s="32">
        <f t="shared" si="8"/>
        <v>1</v>
      </c>
      <c r="Q58" s="32">
        <f t="shared" si="9"/>
        <v>0.96551724137931039</v>
      </c>
      <c r="R58" s="32">
        <f t="shared" si="10"/>
        <v>0.87862068965517248</v>
      </c>
      <c r="S58" s="33">
        <f t="shared" si="11"/>
        <v>0.91034482758620694</v>
      </c>
      <c r="T58" s="90">
        <f t="shared" si="13"/>
        <v>4.6551724137931032</v>
      </c>
      <c r="U58" s="130">
        <f>IF($C58=0,"",INDEX(Список!I$6:I$85,MATCH($C58,Список_учителя,0)))</f>
        <v>5</v>
      </c>
      <c r="V58" s="145"/>
    </row>
    <row r="59" spans="1:22" ht="12" customHeight="1">
      <c r="A59" s="51">
        <v>78</v>
      </c>
      <c r="B59" s="54">
        <f>IF($A59=0,"",INDEX(Список!O$6:O$85,$A59))</f>
        <v>4</v>
      </c>
      <c r="C59" s="53" t="str">
        <f>IF(A59=0,"",INDEX(Список!M$6:M$85,A59))</f>
        <v>Ящук Е. Ю.</v>
      </c>
      <c r="D59" s="53" t="str">
        <f>IF(A59=0,"",INDEX(Список!N$6:N$85,A59))</f>
        <v>История</v>
      </c>
      <c r="E59" s="54">
        <f>VLOOKUP(D59,ШкалаТрудн!$C$5:$N$36,LEFT(F59,2)+1,0)</f>
        <v>5</v>
      </c>
      <c r="F59" s="27" t="s">
        <v>115</v>
      </c>
      <c r="G59" s="30">
        <v>29</v>
      </c>
      <c r="H59" s="143"/>
      <c r="I59" s="143">
        <v>10</v>
      </c>
      <c r="J59" s="143">
        <v>19</v>
      </c>
      <c r="K59" s="143"/>
      <c r="L59" s="143"/>
      <c r="M59" s="144"/>
      <c r="N59" s="29" t="b">
        <f t="shared" ref="N59:N85" si="14">G59=M59+L59+K59+J59+I59+H59</f>
        <v>1</v>
      </c>
      <c r="O59" s="31">
        <f t="shared" ref="O59:O84" si="15">(5*H59+4*I59+3*J59+2*K59)/(G59-M59)</f>
        <v>3.3448275862068964</v>
      </c>
      <c r="P59" s="32">
        <f t="shared" ref="P59:P84" si="16">(SUM(H59:J59)/(G59-M59))</f>
        <v>1</v>
      </c>
      <c r="Q59" s="32">
        <f t="shared" ref="Q59:Q84" si="17">(SUM(H59:I59)/(G59-M59))</f>
        <v>0.34482758620689657</v>
      </c>
      <c r="R59" s="32">
        <f t="shared" ref="R59:R84" si="18">(H59+I59*0.64+J59*0.36+K59*0.16)/(G59-M59)</f>
        <v>0.45655172413793105</v>
      </c>
      <c r="S59" s="33">
        <f t="shared" ref="S59:S84" si="19">(5*H59+4*I59)/((G59-M59)*5)</f>
        <v>0.27586206896551724</v>
      </c>
      <c r="T59" s="90">
        <f t="shared" ref="T59:T85" si="20">(O59+E59)-0.2*(K59+L59)</f>
        <v>8.3448275862068968</v>
      </c>
      <c r="U59" s="130">
        <f>IF($C59=0,"",INDEX(Список!I$6:I$85,MATCH($C59,Список_учителя,0)))</f>
        <v>43</v>
      </c>
      <c r="V59" s="145"/>
    </row>
    <row r="60" spans="1:22" ht="12" customHeight="1">
      <c r="A60" s="51">
        <v>3</v>
      </c>
      <c r="B60" s="54">
        <f>IF($A60=0,"",INDEX(Список!O$6:O$85,$A60))</f>
        <v>1</v>
      </c>
      <c r="C60" s="53" t="str">
        <f>IF(A60=0,"",INDEX(Список!M$6:M$85,A60))</f>
        <v>Алферова Н. М.</v>
      </c>
      <c r="D60" s="53" t="str">
        <f>IF(A60=0,"",INDEX(Список!N$6:N$85,A60))</f>
        <v>Литература</v>
      </c>
      <c r="E60" s="54">
        <f>VLOOKUP(D60,ШкалаТрудн!$C$5:$N$36,LEFT(F60,2)+1,0)</f>
        <v>4</v>
      </c>
      <c r="F60" s="27" t="s">
        <v>115</v>
      </c>
      <c r="G60" s="30">
        <v>29</v>
      </c>
      <c r="H60" s="143">
        <v>3</v>
      </c>
      <c r="I60" s="143">
        <v>24</v>
      </c>
      <c r="J60" s="143">
        <v>2</v>
      </c>
      <c r="K60" s="143"/>
      <c r="L60" s="143"/>
      <c r="M60" s="144"/>
      <c r="N60" s="29" t="b">
        <f t="shared" si="14"/>
        <v>1</v>
      </c>
      <c r="O60" s="31">
        <f t="shared" si="15"/>
        <v>4.0344827586206895</v>
      </c>
      <c r="P60" s="32">
        <f t="shared" si="16"/>
        <v>1</v>
      </c>
      <c r="Q60" s="32">
        <f t="shared" si="17"/>
        <v>0.93103448275862066</v>
      </c>
      <c r="R60" s="32">
        <f t="shared" si="18"/>
        <v>0.65793103448275858</v>
      </c>
      <c r="S60" s="33">
        <f t="shared" si="19"/>
        <v>0.76551724137931032</v>
      </c>
      <c r="T60" s="90">
        <f t="shared" si="20"/>
        <v>8.0344827586206904</v>
      </c>
      <c r="U60" s="130">
        <f>IF($C60=0,"",INDEX(Список!I$6:I$85,MATCH($C60,Список_учителя,0)))</f>
        <v>2</v>
      </c>
      <c r="V60" s="145"/>
    </row>
    <row r="61" spans="1:22" ht="12" customHeight="1">
      <c r="A61" s="51">
        <v>21</v>
      </c>
      <c r="B61" s="54">
        <f>IF($A61=0,"",INDEX(Список!O$6:O$85,$A61))</f>
        <v>3</v>
      </c>
      <c r="C61" s="53" t="str">
        <f>IF(A61=0,"",INDEX(Список!M$6:M$85,A61))</f>
        <v>Каменская Н. В.</v>
      </c>
      <c r="D61" s="53" t="str">
        <f>IF(A61=0,"",INDEX(Список!N$6:N$85,A61))</f>
        <v>Алгебра</v>
      </c>
      <c r="E61" s="54">
        <f>VLOOKUP(D61,ШкалаТрудн!$C$5:$N$36,LEFT(F61,2)+1,0)</f>
        <v>0</v>
      </c>
      <c r="F61" s="27" t="s">
        <v>115</v>
      </c>
      <c r="G61" s="30">
        <v>16</v>
      </c>
      <c r="H61" s="143"/>
      <c r="I61" s="143">
        <v>9</v>
      </c>
      <c r="J61" s="143">
        <v>7</v>
      </c>
      <c r="K61" s="143"/>
      <c r="L61" s="143"/>
      <c r="M61" s="144"/>
      <c r="N61" s="29" t="b">
        <f t="shared" si="14"/>
        <v>1</v>
      </c>
      <c r="O61" s="31">
        <f t="shared" si="15"/>
        <v>3.5625</v>
      </c>
      <c r="P61" s="32">
        <f t="shared" si="16"/>
        <v>1</v>
      </c>
      <c r="Q61" s="32">
        <f t="shared" si="17"/>
        <v>0.5625</v>
      </c>
      <c r="R61" s="32">
        <f t="shared" si="18"/>
        <v>0.51749999999999996</v>
      </c>
      <c r="S61" s="33">
        <f t="shared" si="19"/>
        <v>0.45</v>
      </c>
      <c r="T61" s="90">
        <f t="shared" si="20"/>
        <v>3.5625</v>
      </c>
      <c r="U61" s="130">
        <f>IF($C61=0,"",INDEX(Список!I$6:I$85,MATCH($C61,Список_учителя,0)))</f>
        <v>10</v>
      </c>
      <c r="V61" s="145"/>
    </row>
    <row r="62" spans="1:22" ht="12" customHeight="1">
      <c r="A62" s="51">
        <v>10</v>
      </c>
      <c r="B62" s="54">
        <f>IF($A62=0,"",INDEX(Список!O$6:O$85,$A62))</f>
        <v>9</v>
      </c>
      <c r="C62" s="53" t="str">
        <f>IF(A62=0,"",INDEX(Список!M$6:M$85,A62))</f>
        <v>Ващенко Л. Ю.</v>
      </c>
      <c r="D62" s="53" t="str">
        <f>IF(A62=0,"",INDEX(Список!N$6:N$85,A62))</f>
        <v>Русский язык НШ</v>
      </c>
      <c r="E62" s="54">
        <f>VLOOKUP(D62,ШкалаТрудн!$C$5:$N$36,LEFT(F62,2)+1,0)</f>
        <v>0</v>
      </c>
      <c r="F62" s="27" t="s">
        <v>115</v>
      </c>
      <c r="G62" s="30">
        <v>29</v>
      </c>
      <c r="H62" s="143">
        <v>6</v>
      </c>
      <c r="I62" s="143">
        <v>18</v>
      </c>
      <c r="J62" s="143">
        <v>5</v>
      </c>
      <c r="K62" s="143"/>
      <c r="L62" s="143"/>
      <c r="M62" s="144"/>
      <c r="N62" s="29" t="b">
        <f t="shared" si="14"/>
        <v>1</v>
      </c>
      <c r="O62" s="31">
        <f t="shared" si="15"/>
        <v>4.0344827586206895</v>
      </c>
      <c r="P62" s="32">
        <f t="shared" si="16"/>
        <v>1</v>
      </c>
      <c r="Q62" s="32">
        <f t="shared" si="17"/>
        <v>0.82758620689655171</v>
      </c>
      <c r="R62" s="32">
        <f t="shared" si="18"/>
        <v>0.66620689655172416</v>
      </c>
      <c r="S62" s="33">
        <f t="shared" si="19"/>
        <v>0.70344827586206893</v>
      </c>
      <c r="T62" s="90">
        <f t="shared" si="20"/>
        <v>4.0344827586206895</v>
      </c>
      <c r="U62" s="130">
        <f>IF($C62=0,"",INDEX(Список!I$6:I$85,MATCH($C62,Список_учителя,0)))</f>
        <v>5</v>
      </c>
      <c r="V62" s="145"/>
    </row>
    <row r="63" spans="1:22" ht="12" customHeight="1">
      <c r="A63" s="51">
        <v>62</v>
      </c>
      <c r="B63" s="54">
        <f>IF($A63=0,"",INDEX(Список!O$6:O$85,$A63))</f>
        <v>9</v>
      </c>
      <c r="C63" s="53" t="str">
        <f>IF(A63=0,"",INDEX(Список!M$6:M$85,A63))</f>
        <v>Самойленко Н. Ф.</v>
      </c>
      <c r="D63" s="53" t="str">
        <f>IF(A63=0,"",INDEX(Список!N$6:N$85,A63))</f>
        <v>Естествознание НШ</v>
      </c>
      <c r="E63" s="54">
        <f>VLOOKUP(D63,ШкалаТрудн!$C$5:$N$36,LEFT(F63,2)+1,0)</f>
        <v>0</v>
      </c>
      <c r="F63" s="27" t="s">
        <v>116</v>
      </c>
      <c r="G63" s="30">
        <v>10</v>
      </c>
      <c r="H63" s="143">
        <v>5</v>
      </c>
      <c r="I63" s="143">
        <v>2</v>
      </c>
      <c r="J63" s="143">
        <v>3</v>
      </c>
      <c r="K63" s="143"/>
      <c r="L63" s="143"/>
      <c r="M63" s="144"/>
      <c r="N63" s="29" t="b">
        <f t="shared" si="14"/>
        <v>1</v>
      </c>
      <c r="O63" s="31">
        <f t="shared" si="15"/>
        <v>4.2</v>
      </c>
      <c r="P63" s="32">
        <f t="shared" si="16"/>
        <v>1</v>
      </c>
      <c r="Q63" s="32">
        <f t="shared" si="17"/>
        <v>0.7</v>
      </c>
      <c r="R63" s="32">
        <f t="shared" si="18"/>
        <v>0.73599999999999999</v>
      </c>
      <c r="S63" s="33">
        <f t="shared" si="19"/>
        <v>0.66</v>
      </c>
      <c r="T63" s="90">
        <f t="shared" si="20"/>
        <v>4.2</v>
      </c>
      <c r="U63" s="130">
        <f>IF($C63=0,"",INDEX(Список!I$6:I$85,MATCH($C63,Список_учителя,0)))</f>
        <v>36</v>
      </c>
      <c r="V63" s="145"/>
    </row>
    <row r="64" spans="1:22" ht="12" customHeight="1">
      <c r="A64" s="51">
        <v>10</v>
      </c>
      <c r="B64" s="54">
        <f>IF($A64=0,"",INDEX(Список!O$6:O$85,$A64))</f>
        <v>9</v>
      </c>
      <c r="C64" s="53" t="str">
        <f>IF(A64=0,"",INDEX(Список!M$6:M$85,A64))</f>
        <v>Ващенко Л. Ю.</v>
      </c>
      <c r="D64" s="53" t="str">
        <f>IF(A64=0,"",INDEX(Список!N$6:N$85,A64))</f>
        <v>Русский язык НШ</v>
      </c>
      <c r="E64" s="54">
        <f>VLOOKUP(D64,ШкалаТрудн!$C$5:$N$36,LEFT(F64,2)+1,0)</f>
        <v>0</v>
      </c>
      <c r="F64" s="27" t="s">
        <v>116</v>
      </c>
      <c r="G64" s="30">
        <v>30</v>
      </c>
      <c r="H64" s="143">
        <v>16</v>
      </c>
      <c r="I64" s="143">
        <v>10</v>
      </c>
      <c r="J64" s="143">
        <v>4</v>
      </c>
      <c r="K64" s="143"/>
      <c r="L64" s="143"/>
      <c r="M64" s="144"/>
      <c r="N64" s="29" t="b">
        <f t="shared" si="14"/>
        <v>1</v>
      </c>
      <c r="O64" s="31">
        <f t="shared" si="15"/>
        <v>4.4000000000000004</v>
      </c>
      <c r="P64" s="32">
        <f t="shared" si="16"/>
        <v>1</v>
      </c>
      <c r="Q64" s="32">
        <f t="shared" si="17"/>
        <v>0.8666666666666667</v>
      </c>
      <c r="R64" s="32">
        <f t="shared" si="18"/>
        <v>0.79466666666666663</v>
      </c>
      <c r="S64" s="33">
        <f t="shared" si="19"/>
        <v>0.8</v>
      </c>
      <c r="T64" s="90">
        <f t="shared" si="20"/>
        <v>4.4000000000000004</v>
      </c>
      <c r="U64" s="130">
        <f>IF($C64=0,"",INDEX(Список!I$6:I$85,MATCH($C64,Список_учителя,0)))</f>
        <v>5</v>
      </c>
      <c r="V64" s="145"/>
    </row>
    <row r="65" spans="1:22" ht="12" customHeight="1">
      <c r="A65" s="51">
        <v>13</v>
      </c>
      <c r="B65" s="54">
        <f>IF($A65=0,"",INDEX(Список!O$6:O$85,$A65))</f>
        <v>9</v>
      </c>
      <c r="C65" s="53" t="str">
        <f>IF(A65=0,"",INDEX(Список!M$6:M$85,A65))</f>
        <v>Гладкая И В</v>
      </c>
      <c r="D65" s="53" t="str">
        <f>IF(A65=0,"",INDEX(Список!N$6:N$85,A65))</f>
        <v>Русский язык НШ</v>
      </c>
      <c r="E65" s="54">
        <f>VLOOKUP(D65,ШкалаТрудн!$C$5:$N$36,LEFT(F65,2)+1,0)</f>
        <v>0</v>
      </c>
      <c r="F65" s="27" t="s">
        <v>116</v>
      </c>
      <c r="G65" s="30">
        <v>14</v>
      </c>
      <c r="H65" s="143">
        <v>4</v>
      </c>
      <c r="I65" s="143">
        <v>9</v>
      </c>
      <c r="J65" s="143">
        <v>1</v>
      </c>
      <c r="K65" s="143"/>
      <c r="L65" s="143"/>
      <c r="M65" s="144"/>
      <c r="N65" s="29" t="b">
        <f t="shared" si="14"/>
        <v>1</v>
      </c>
      <c r="O65" s="31">
        <f t="shared" si="15"/>
        <v>4.2142857142857144</v>
      </c>
      <c r="P65" s="32">
        <f t="shared" si="16"/>
        <v>1</v>
      </c>
      <c r="Q65" s="32">
        <f t="shared" si="17"/>
        <v>0.9285714285714286</v>
      </c>
      <c r="R65" s="32">
        <f t="shared" si="18"/>
        <v>0.72285714285714275</v>
      </c>
      <c r="S65" s="33">
        <f t="shared" si="19"/>
        <v>0.8</v>
      </c>
      <c r="T65" s="90">
        <f t="shared" si="20"/>
        <v>4.2142857142857144</v>
      </c>
      <c r="U65" s="130">
        <f>IF($C65=0,"",INDEX(Список!I$6:I$85,MATCH($C65,Список_учителя,0)))</f>
        <v>6</v>
      </c>
      <c r="V65" s="145"/>
    </row>
    <row r="66" spans="1:22" ht="12" customHeight="1">
      <c r="A66" s="51">
        <v>58</v>
      </c>
      <c r="B66" s="54">
        <f>IF($A66=0,"",INDEX(Список!O$6:O$85,$A66))</f>
        <v>2</v>
      </c>
      <c r="C66" s="53" t="str">
        <f>IF(A66=0,"",INDEX(Список!M$6:M$85,A66))</f>
        <v>Простова Н. А.</v>
      </c>
      <c r="D66" s="53" t="str">
        <f>IF(A66=0,"",INDEX(Список!N$6:N$85,A66))</f>
        <v>Английский язык</v>
      </c>
      <c r="E66" s="54">
        <f>VLOOKUP(D66,ШкалаТрудн!$C$5:$N$36,LEFT(F66,2)+1,0)</f>
        <v>11</v>
      </c>
      <c r="F66" s="27" t="s">
        <v>117</v>
      </c>
      <c r="G66" s="30">
        <v>30</v>
      </c>
      <c r="H66" s="143">
        <v>4</v>
      </c>
      <c r="I66" s="143">
        <v>10</v>
      </c>
      <c r="J66" s="143">
        <v>16</v>
      </c>
      <c r="K66" s="143"/>
      <c r="L66" s="143"/>
      <c r="M66" s="144"/>
      <c r="N66" s="29" t="b">
        <f t="shared" si="14"/>
        <v>1</v>
      </c>
      <c r="O66" s="31">
        <f t="shared" si="15"/>
        <v>3.6</v>
      </c>
      <c r="P66" s="32">
        <f t="shared" si="16"/>
        <v>1</v>
      </c>
      <c r="Q66" s="32">
        <f t="shared" si="17"/>
        <v>0.46666666666666667</v>
      </c>
      <c r="R66" s="32">
        <f t="shared" si="18"/>
        <v>0.53866666666666663</v>
      </c>
      <c r="S66" s="33">
        <f t="shared" si="19"/>
        <v>0.4</v>
      </c>
      <c r="T66" s="90">
        <f t="shared" si="20"/>
        <v>14.6</v>
      </c>
      <c r="U66" s="130">
        <f>IF($C66=0,"",INDEX(Список!I$6:I$85,MATCH($C66,Список_учителя,0)))</f>
        <v>33</v>
      </c>
      <c r="V66" s="145"/>
    </row>
    <row r="67" spans="1:22" ht="12" customHeight="1">
      <c r="A67" s="51">
        <v>57</v>
      </c>
      <c r="B67" s="54">
        <f>IF($A67=0,"",INDEX(Список!O$6:O$85,$A67))</f>
        <v>3</v>
      </c>
      <c r="C67" s="53" t="str">
        <f>IF(A67=0,"",INDEX(Список!M$6:M$85,A67))</f>
        <v>Попова Т. А.</v>
      </c>
      <c r="D67" s="53" t="str">
        <f>IF(A67=0,"",INDEX(Список!N$6:N$85,A67))</f>
        <v>Математика</v>
      </c>
      <c r="E67" s="54">
        <f>VLOOKUP(D67,ШкалаТрудн!$C$5:$N$36,LEFT(F67,2)+1,0)</f>
        <v>13</v>
      </c>
      <c r="F67" s="27" t="s">
        <v>117</v>
      </c>
      <c r="G67" s="30">
        <v>30</v>
      </c>
      <c r="H67" s="143">
        <v>9</v>
      </c>
      <c r="I67" s="143">
        <v>8</v>
      </c>
      <c r="J67" s="143">
        <v>13</v>
      </c>
      <c r="K67" s="143"/>
      <c r="L67" s="143"/>
      <c r="M67" s="144"/>
      <c r="N67" s="29" t="b">
        <f t="shared" si="14"/>
        <v>1</v>
      </c>
      <c r="O67" s="31">
        <f t="shared" si="15"/>
        <v>3.8666666666666667</v>
      </c>
      <c r="P67" s="32">
        <f t="shared" si="16"/>
        <v>1</v>
      </c>
      <c r="Q67" s="32">
        <f t="shared" si="17"/>
        <v>0.56666666666666665</v>
      </c>
      <c r="R67" s="32">
        <f t="shared" si="18"/>
        <v>0.62666666666666671</v>
      </c>
      <c r="S67" s="33">
        <f t="shared" si="19"/>
        <v>0.51333333333333331</v>
      </c>
      <c r="T67" s="90">
        <f t="shared" si="20"/>
        <v>16.866666666666667</v>
      </c>
      <c r="U67" s="130">
        <f>IF($C67=0,"",INDEX(Список!I$6:I$85,MATCH($C67,Список_учителя,0)))</f>
        <v>32</v>
      </c>
      <c r="V67" s="145"/>
    </row>
    <row r="68" spans="1:22" ht="12" customHeight="1">
      <c r="A68" s="51">
        <v>10</v>
      </c>
      <c r="B68" s="54">
        <f>IF($A68=0,"",INDEX(Список!O$6:O$85,$A68))</f>
        <v>9</v>
      </c>
      <c r="C68" s="53" t="str">
        <f>IF(A68=0,"",INDEX(Список!M$6:M$85,A68))</f>
        <v>Ващенко Л. Ю.</v>
      </c>
      <c r="D68" s="53" t="str">
        <f>IF(A68=0,"",INDEX(Список!N$6:N$85,A68))</f>
        <v>Русский язык НШ</v>
      </c>
      <c r="E68" s="54">
        <f>VLOOKUP(D68,ШкалаТрудн!$C$5:$N$36,LEFT(F68,2)+1,0)</f>
        <v>0</v>
      </c>
      <c r="F68" s="27" t="s">
        <v>117</v>
      </c>
      <c r="G68" s="30">
        <v>30</v>
      </c>
      <c r="H68" s="143">
        <v>11</v>
      </c>
      <c r="I68" s="143">
        <v>8</v>
      </c>
      <c r="J68" s="143">
        <v>11</v>
      </c>
      <c r="K68" s="143"/>
      <c r="L68" s="143"/>
      <c r="M68" s="144"/>
      <c r="N68" s="29" t="b">
        <f t="shared" si="14"/>
        <v>1</v>
      </c>
      <c r="O68" s="31">
        <f t="shared" si="15"/>
        <v>4</v>
      </c>
      <c r="P68" s="32">
        <f t="shared" si="16"/>
        <v>1</v>
      </c>
      <c r="Q68" s="32">
        <f t="shared" si="17"/>
        <v>0.6333333333333333</v>
      </c>
      <c r="R68" s="32">
        <f t="shared" si="18"/>
        <v>0.66933333333333345</v>
      </c>
      <c r="S68" s="33">
        <f t="shared" si="19"/>
        <v>0.57999999999999996</v>
      </c>
      <c r="T68" s="90">
        <f t="shared" si="20"/>
        <v>4</v>
      </c>
      <c r="U68" s="130">
        <f>IF($C68=0,"",INDEX(Список!I$6:I$85,MATCH($C68,Список_учителя,0)))</f>
        <v>5</v>
      </c>
      <c r="V68" s="145"/>
    </row>
    <row r="69" spans="1:22" ht="12" customHeight="1">
      <c r="A69" s="51">
        <v>26</v>
      </c>
      <c r="B69" s="54">
        <f>IF($A69=0,"",INDEX(Список!O$6:O$85,$A69))</f>
        <v>1</v>
      </c>
      <c r="C69" s="53" t="str">
        <f>IF(A69=0,"",INDEX(Список!M$6:M$85,A69))</f>
        <v>Клочко А.М.</v>
      </c>
      <c r="D69" s="53" t="str">
        <f>IF(A69=0,"",INDEX(Список!N$6:N$85,A69))</f>
        <v>Русский язык</v>
      </c>
      <c r="E69" s="54">
        <f>VLOOKUP(D69,ШкалаТрудн!$C$5:$N$36,LEFT(F69,2)+1,0)</f>
        <v>12</v>
      </c>
      <c r="F69" s="27" t="s">
        <v>117</v>
      </c>
      <c r="G69" s="30">
        <v>16</v>
      </c>
      <c r="H69" s="143">
        <v>6</v>
      </c>
      <c r="I69" s="143">
        <v>1</v>
      </c>
      <c r="J69" s="143">
        <v>9</v>
      </c>
      <c r="K69" s="143"/>
      <c r="L69" s="143"/>
      <c r="M69" s="144"/>
      <c r="N69" s="29" t="b">
        <f t="shared" si="14"/>
        <v>1</v>
      </c>
      <c r="O69" s="31">
        <f t="shared" si="15"/>
        <v>3.8125</v>
      </c>
      <c r="P69" s="32">
        <f t="shared" si="16"/>
        <v>1</v>
      </c>
      <c r="Q69" s="32">
        <f t="shared" si="17"/>
        <v>0.4375</v>
      </c>
      <c r="R69" s="32">
        <f t="shared" si="18"/>
        <v>0.61749999999999994</v>
      </c>
      <c r="S69" s="33">
        <f t="shared" si="19"/>
        <v>0.42499999999999999</v>
      </c>
      <c r="T69" s="90">
        <f t="shared" si="20"/>
        <v>15.8125</v>
      </c>
      <c r="U69" s="130" t="e">
        <f>IF($C69=0,"",INDEX(Список!I$6:I$85,MATCH($C69,Список_учителя,0)))</f>
        <v>#N/A</v>
      </c>
      <c r="V69" s="145"/>
    </row>
    <row r="70" spans="1:22" ht="12" customHeight="1">
      <c r="A70" s="51">
        <v>55</v>
      </c>
      <c r="B70" s="54">
        <f>IF($A70=0,"",INDEX(Список!O$6:O$85,$A70))</f>
        <v>3</v>
      </c>
      <c r="C70" s="53" t="str">
        <f>IF(A70=0,"",INDEX(Список!M$6:M$85,A70))</f>
        <v>Попова Т. А.</v>
      </c>
      <c r="D70" s="53" t="str">
        <f>IF(A70=0,"",INDEX(Список!N$6:N$85,A70))</f>
        <v>Алгебра</v>
      </c>
      <c r="E70" s="54">
        <f>VLOOKUP(D70,ШкалаТрудн!$C$5:$N$36,LEFT(F70,2)+1,0)</f>
        <v>0</v>
      </c>
      <c r="F70" s="27" t="s">
        <v>118</v>
      </c>
      <c r="G70" s="30">
        <v>27</v>
      </c>
      <c r="H70" s="143">
        <v>5</v>
      </c>
      <c r="I70" s="143">
        <v>11</v>
      </c>
      <c r="J70" s="143">
        <v>11</v>
      </c>
      <c r="K70" s="143"/>
      <c r="L70" s="143"/>
      <c r="M70" s="144"/>
      <c r="N70" s="29" t="b">
        <f t="shared" si="14"/>
        <v>1</v>
      </c>
      <c r="O70" s="31">
        <f t="shared" si="15"/>
        <v>3.7777777777777777</v>
      </c>
      <c r="P70" s="32">
        <f t="shared" si="16"/>
        <v>1</v>
      </c>
      <c r="Q70" s="32">
        <f t="shared" si="17"/>
        <v>0.59259259259259256</v>
      </c>
      <c r="R70" s="32">
        <f t="shared" si="18"/>
        <v>0.59259259259259256</v>
      </c>
      <c r="S70" s="33">
        <f t="shared" si="19"/>
        <v>0.51111111111111107</v>
      </c>
      <c r="T70" s="90">
        <f t="shared" si="20"/>
        <v>3.7777777777777777</v>
      </c>
      <c r="U70" s="130">
        <f>IF($C70=0,"",INDEX(Список!I$6:I$85,MATCH($C70,Список_учителя,0)))</f>
        <v>32</v>
      </c>
      <c r="V70" s="145"/>
    </row>
    <row r="71" spans="1:22" ht="12" customHeight="1">
      <c r="A71" s="51">
        <v>54</v>
      </c>
      <c r="B71" s="54">
        <f>IF($A71=0,"",INDEX(Список!O$6:O$85,$A71))</f>
        <v>5</v>
      </c>
      <c r="C71" s="53" t="str">
        <f>IF(A71=0,"",INDEX(Список!M$6:M$85,A71))</f>
        <v>Полякова Е. В.</v>
      </c>
      <c r="D71" s="53" t="str">
        <f>IF(A71=0,"",INDEX(Список!N$6:N$85,A71))</f>
        <v>География</v>
      </c>
      <c r="E71" s="54">
        <f>VLOOKUP(D71,ШкалаТрудн!$C$5:$N$36,LEFT(F71,2)+1,0)</f>
        <v>7</v>
      </c>
      <c r="F71" s="27" t="s">
        <v>118</v>
      </c>
      <c r="G71" s="28">
        <v>27</v>
      </c>
      <c r="H71" s="143">
        <v>13</v>
      </c>
      <c r="I71" s="143">
        <v>10</v>
      </c>
      <c r="J71" s="143">
        <v>4</v>
      </c>
      <c r="K71" s="143"/>
      <c r="L71" s="143"/>
      <c r="M71" s="144"/>
      <c r="N71" s="29" t="b">
        <f t="shared" si="14"/>
        <v>1</v>
      </c>
      <c r="O71" s="31">
        <f t="shared" si="15"/>
        <v>4.333333333333333</v>
      </c>
      <c r="P71" s="32">
        <f t="shared" si="16"/>
        <v>1</v>
      </c>
      <c r="Q71" s="32">
        <f t="shared" si="17"/>
        <v>0.85185185185185186</v>
      </c>
      <c r="R71" s="32">
        <f t="shared" si="18"/>
        <v>0.7718518518518519</v>
      </c>
      <c r="S71" s="33">
        <f t="shared" si="19"/>
        <v>0.77777777777777779</v>
      </c>
      <c r="T71" s="90">
        <f t="shared" si="20"/>
        <v>11.333333333333332</v>
      </c>
      <c r="U71" s="130">
        <f>IF($C71=0,"",INDEX(Список!I$6:I$85,MATCH($C71,Список_учителя,0)))</f>
        <v>31</v>
      </c>
      <c r="V71" s="145"/>
    </row>
    <row r="72" spans="1:22" ht="12" customHeight="1">
      <c r="A72" s="51">
        <v>72</v>
      </c>
      <c r="B72" s="54">
        <f>IF($A72=0,"",INDEX(Список!O$6:O$85,$A72))</f>
        <v>3</v>
      </c>
      <c r="C72" s="53" t="str">
        <f>IF(A72=0,"",INDEX(Список!M$6:M$85,A72))</f>
        <v xml:space="preserve">Тулинов Н. И. </v>
      </c>
      <c r="D72" s="53" t="str">
        <f>IF(A72=0,"",INDEX(Список!N$6:N$85,A72))</f>
        <v>Математика</v>
      </c>
      <c r="E72" s="54">
        <f>VLOOKUP(D72,ШкалаТрудн!$C$5:$N$36,LEFT(F72,2)+1,0)</f>
        <v>13</v>
      </c>
      <c r="F72" s="27" t="s">
        <v>118</v>
      </c>
      <c r="G72" s="30">
        <v>13</v>
      </c>
      <c r="H72" s="143">
        <v>2</v>
      </c>
      <c r="I72" s="143">
        <v>6</v>
      </c>
      <c r="J72" s="143">
        <v>5</v>
      </c>
      <c r="K72" s="143"/>
      <c r="L72" s="143"/>
      <c r="M72" s="144"/>
      <c r="N72" s="29" t="b">
        <f t="shared" si="14"/>
        <v>1</v>
      </c>
      <c r="O72" s="31">
        <f t="shared" si="15"/>
        <v>3.7692307692307692</v>
      </c>
      <c r="P72" s="32">
        <f t="shared" si="16"/>
        <v>1</v>
      </c>
      <c r="Q72" s="32">
        <f t="shared" si="17"/>
        <v>0.61538461538461542</v>
      </c>
      <c r="R72" s="32">
        <f t="shared" si="18"/>
        <v>0.58769230769230763</v>
      </c>
      <c r="S72" s="33">
        <f t="shared" si="19"/>
        <v>0.52307692307692311</v>
      </c>
      <c r="T72" s="90">
        <f t="shared" si="20"/>
        <v>16.76923076923077</v>
      </c>
      <c r="U72" s="130">
        <f>IF($C72=0,"",INDEX(Список!I$6:I$85,MATCH($C72,Список_учителя,0)))</f>
        <v>39</v>
      </c>
      <c r="V72" s="145"/>
    </row>
    <row r="73" spans="1:22" ht="12" customHeight="1">
      <c r="A73" s="51">
        <v>10</v>
      </c>
      <c r="B73" s="54">
        <f>IF($A73=0,"",INDEX(Список!O$6:O$85,$A73))</f>
        <v>9</v>
      </c>
      <c r="C73" s="53" t="str">
        <f>IF(A73=0,"",INDEX(Список!M$6:M$85,A73))</f>
        <v>Ващенко Л. Ю.</v>
      </c>
      <c r="D73" s="53" t="str">
        <f>IF(A73=0,"",INDEX(Список!N$6:N$85,A73))</f>
        <v>Русский язык НШ</v>
      </c>
      <c r="E73" s="54">
        <f>VLOOKUP(D73,ШкалаТрудн!$C$5:$N$36,LEFT(F73,2)+1,0)</f>
        <v>0</v>
      </c>
      <c r="F73" s="27" t="s">
        <v>118</v>
      </c>
      <c r="G73" s="30">
        <v>27</v>
      </c>
      <c r="H73" s="143">
        <v>11</v>
      </c>
      <c r="I73" s="143">
        <v>13</v>
      </c>
      <c r="J73" s="143">
        <v>3</v>
      </c>
      <c r="K73" s="143"/>
      <c r="L73" s="143"/>
      <c r="M73" s="144"/>
      <c r="N73" s="29" t="b">
        <f t="shared" si="14"/>
        <v>1</v>
      </c>
      <c r="O73" s="31">
        <f t="shared" si="15"/>
        <v>4.2962962962962967</v>
      </c>
      <c r="P73" s="32">
        <f t="shared" si="16"/>
        <v>1</v>
      </c>
      <c r="Q73" s="32">
        <f t="shared" si="17"/>
        <v>0.88888888888888884</v>
      </c>
      <c r="R73" s="32">
        <f t="shared" si="18"/>
        <v>0.75555555555555554</v>
      </c>
      <c r="S73" s="33">
        <f t="shared" si="19"/>
        <v>0.79259259259259263</v>
      </c>
      <c r="T73" s="90">
        <f t="shared" si="20"/>
        <v>4.2962962962962967</v>
      </c>
      <c r="U73" s="130">
        <f>IF($C73=0,"",INDEX(Список!I$6:I$85,MATCH($C73,Список_учителя,0)))</f>
        <v>5</v>
      </c>
      <c r="V73" s="145"/>
    </row>
    <row r="74" spans="1:22" ht="12" customHeight="1">
      <c r="A74" s="51">
        <v>26</v>
      </c>
      <c r="B74" s="54">
        <f>IF($A74=0,"",INDEX(Список!O$6:O$85,$A74))</f>
        <v>1</v>
      </c>
      <c r="C74" s="53" t="str">
        <f>IF(A74=0,"",INDEX(Список!M$6:M$85,A74))</f>
        <v>Клочко А.М.</v>
      </c>
      <c r="D74" s="53" t="str">
        <f>IF(A74=0,"",INDEX(Список!N$6:N$85,A74))</f>
        <v>Русский язык</v>
      </c>
      <c r="E74" s="54">
        <f>VLOOKUP(D74,ШкалаТрудн!$C$5:$N$36,LEFT(F74,2)+1,0)</f>
        <v>12</v>
      </c>
      <c r="F74" s="27" t="s">
        <v>118</v>
      </c>
      <c r="G74" s="30">
        <v>13</v>
      </c>
      <c r="H74" s="143">
        <v>3</v>
      </c>
      <c r="I74" s="143">
        <v>6</v>
      </c>
      <c r="J74" s="143">
        <v>4</v>
      </c>
      <c r="K74" s="143"/>
      <c r="L74" s="143"/>
      <c r="M74" s="144"/>
      <c r="N74" s="29" t="b">
        <f t="shared" si="14"/>
        <v>1</v>
      </c>
      <c r="O74" s="31">
        <f t="shared" si="15"/>
        <v>3.9230769230769229</v>
      </c>
      <c r="P74" s="32">
        <f t="shared" si="16"/>
        <v>1</v>
      </c>
      <c r="Q74" s="32">
        <f t="shared" si="17"/>
        <v>0.69230769230769229</v>
      </c>
      <c r="R74" s="32">
        <f t="shared" si="18"/>
        <v>0.63692307692307693</v>
      </c>
      <c r="S74" s="33">
        <f t="shared" si="19"/>
        <v>0.6</v>
      </c>
      <c r="T74" s="90">
        <f t="shared" si="20"/>
        <v>15.923076923076923</v>
      </c>
      <c r="U74" s="130" t="e">
        <f>IF($C74=0,"",INDEX(Список!I$6:I$85,MATCH($C74,Список_учителя,0)))</f>
        <v>#N/A</v>
      </c>
      <c r="V74" s="145"/>
    </row>
    <row r="75" spans="1:22" ht="12" customHeight="1">
      <c r="A75" s="51">
        <v>4</v>
      </c>
      <c r="B75" s="54">
        <f>IF($A75=0,"",INDEX(Список!O$6:O$85,$A75))</f>
        <v>1</v>
      </c>
      <c r="C75" s="53" t="str">
        <f>IF(A75=0,"",INDEX(Список!M$6:M$85,A75))</f>
        <v>Алферова Н. М.</v>
      </c>
      <c r="D75" s="53" t="str">
        <f>IF(A75=0,"",INDEX(Список!N$6:N$85,A75))</f>
        <v>Русский язык</v>
      </c>
      <c r="E75" s="54">
        <f>VLOOKUP(D75,ШкалаТрудн!$C$5:$N$36,LEFT(F75,2)+1,0)</f>
        <v>12</v>
      </c>
      <c r="F75" s="27" t="s">
        <v>119</v>
      </c>
      <c r="G75" s="28">
        <v>29</v>
      </c>
      <c r="H75" s="143"/>
      <c r="I75" s="143">
        <v>20</v>
      </c>
      <c r="J75" s="143">
        <v>9</v>
      </c>
      <c r="K75" s="143"/>
      <c r="L75" s="143"/>
      <c r="M75" s="144"/>
      <c r="N75" s="29" t="b">
        <f t="shared" si="14"/>
        <v>1</v>
      </c>
      <c r="O75" s="31">
        <f t="shared" si="15"/>
        <v>3.6896551724137931</v>
      </c>
      <c r="P75" s="32">
        <f t="shared" si="16"/>
        <v>1</v>
      </c>
      <c r="Q75" s="32">
        <f t="shared" si="17"/>
        <v>0.68965517241379315</v>
      </c>
      <c r="R75" s="32">
        <f t="shared" si="18"/>
        <v>0.553103448275862</v>
      </c>
      <c r="S75" s="33">
        <f t="shared" si="19"/>
        <v>0.55172413793103448</v>
      </c>
      <c r="T75" s="90">
        <f t="shared" si="20"/>
        <v>15.689655172413794</v>
      </c>
      <c r="U75" s="130">
        <f>IF($C75=0,"",INDEX(Список!I$6:I$85,MATCH($C75,Список_учителя,0)))</f>
        <v>2</v>
      </c>
      <c r="V75" s="145"/>
    </row>
    <row r="76" spans="1:22" ht="12" customHeight="1">
      <c r="A76" s="51">
        <v>3</v>
      </c>
      <c r="B76" s="54">
        <f>IF($A76=0,"",INDEX(Список!O$6:O$85,$A76))</f>
        <v>1</v>
      </c>
      <c r="C76" s="53" t="str">
        <f>IF(A76=0,"",INDEX(Список!M$6:M$85,A76))</f>
        <v>Алферова Н. М.</v>
      </c>
      <c r="D76" s="53" t="str">
        <f>IF(A76=0,"",INDEX(Список!N$6:N$85,A76))</f>
        <v>Литература</v>
      </c>
      <c r="E76" s="54">
        <f>VLOOKUP(D76,ШкалаТрудн!$C$5:$N$36,LEFT(F76,2)+1,0)</f>
        <v>6</v>
      </c>
      <c r="F76" s="27" t="s">
        <v>119</v>
      </c>
      <c r="G76" s="30">
        <v>29</v>
      </c>
      <c r="H76" s="143">
        <v>22</v>
      </c>
      <c r="I76" s="143">
        <v>6</v>
      </c>
      <c r="J76" s="143">
        <v>1</v>
      </c>
      <c r="K76" s="143"/>
      <c r="L76" s="143"/>
      <c r="M76" s="144"/>
      <c r="N76" s="29" t="b">
        <f t="shared" si="14"/>
        <v>1</v>
      </c>
      <c r="O76" s="31">
        <f t="shared" si="15"/>
        <v>4.7241379310344831</v>
      </c>
      <c r="P76" s="32">
        <f t="shared" si="16"/>
        <v>1</v>
      </c>
      <c r="Q76" s="32">
        <f t="shared" si="17"/>
        <v>0.96551724137931039</v>
      </c>
      <c r="R76" s="32">
        <f t="shared" si="18"/>
        <v>0.90344827586206899</v>
      </c>
      <c r="S76" s="33">
        <f t="shared" si="19"/>
        <v>0.92413793103448272</v>
      </c>
      <c r="T76" s="90">
        <f t="shared" si="20"/>
        <v>10.724137931034484</v>
      </c>
      <c r="U76" s="130">
        <f>IF($C76=0,"",INDEX(Список!I$6:I$85,MATCH($C76,Список_учителя,0)))</f>
        <v>2</v>
      </c>
      <c r="V76" s="145"/>
    </row>
    <row r="77" spans="1:22" ht="12" customHeight="1">
      <c r="A77" s="51">
        <v>52</v>
      </c>
      <c r="B77" s="54">
        <f>IF($A77=0,"",INDEX(Список!O$6:O$85,$A77))</f>
        <v>1</v>
      </c>
      <c r="C77" s="53" t="str">
        <f>IF(A77=0,"",INDEX(Список!M$6:M$85,A77))</f>
        <v>Полунина В. В.</v>
      </c>
      <c r="D77" s="53" t="str">
        <f>IF(A77=0,"",INDEX(Список!N$6:N$85,A77))</f>
        <v>Литература</v>
      </c>
      <c r="E77" s="54">
        <f>VLOOKUP(D77,ШкалаТрудн!$C$5:$N$36,LEFT(F77,2)+1,0)</f>
        <v>6</v>
      </c>
      <c r="F77" s="27" t="s">
        <v>119</v>
      </c>
      <c r="G77" s="30">
        <v>13</v>
      </c>
      <c r="H77" s="143">
        <v>7</v>
      </c>
      <c r="I77" s="143">
        <v>6</v>
      </c>
      <c r="J77" s="143"/>
      <c r="K77" s="143"/>
      <c r="L77" s="143"/>
      <c r="M77" s="144"/>
      <c r="N77" s="29" t="b">
        <f t="shared" si="14"/>
        <v>1</v>
      </c>
      <c r="O77" s="31">
        <f t="shared" si="15"/>
        <v>4.5384615384615383</v>
      </c>
      <c r="P77" s="32">
        <f t="shared" si="16"/>
        <v>1</v>
      </c>
      <c r="Q77" s="32">
        <f t="shared" si="17"/>
        <v>1</v>
      </c>
      <c r="R77" s="32">
        <f t="shared" si="18"/>
        <v>0.83384615384615379</v>
      </c>
      <c r="S77" s="33">
        <f t="shared" si="19"/>
        <v>0.90769230769230769</v>
      </c>
      <c r="T77" s="90">
        <f t="shared" si="20"/>
        <v>10.538461538461538</v>
      </c>
      <c r="U77" s="130">
        <f>IF($C77=0,"",INDEX(Список!I$6:I$85,MATCH($C77,Список_учителя,0)))</f>
        <v>30</v>
      </c>
      <c r="V77" s="145"/>
    </row>
    <row r="78" spans="1:22" ht="12" customHeight="1">
      <c r="A78" s="51">
        <v>26</v>
      </c>
      <c r="B78" s="54">
        <f>IF($A78=0,"",INDEX(Список!O$6:O$85,$A78))</f>
        <v>1</v>
      </c>
      <c r="C78" s="53" t="str">
        <f>IF(A78=0,"",INDEX(Список!M$6:M$85,A78))</f>
        <v>Клочко А.М.</v>
      </c>
      <c r="D78" s="53" t="str">
        <f>IF(A78=0,"",INDEX(Список!N$6:N$85,A78))</f>
        <v>Русский язык</v>
      </c>
      <c r="E78" s="54">
        <f>VLOOKUP(D78,ШкалаТрудн!$C$5:$N$36,LEFT(F78,2)+1,0)</f>
        <v>12</v>
      </c>
      <c r="F78" s="27" t="s">
        <v>119</v>
      </c>
      <c r="G78" s="30">
        <v>15</v>
      </c>
      <c r="H78" s="143">
        <v>2</v>
      </c>
      <c r="I78" s="143">
        <v>7</v>
      </c>
      <c r="J78" s="143">
        <v>6</v>
      </c>
      <c r="K78" s="143"/>
      <c r="L78" s="143"/>
      <c r="M78" s="144"/>
      <c r="N78" s="29" t="b">
        <f t="shared" si="14"/>
        <v>1</v>
      </c>
      <c r="O78" s="31">
        <f t="shared" si="15"/>
        <v>3.7333333333333334</v>
      </c>
      <c r="P78" s="32">
        <f t="shared" si="16"/>
        <v>1</v>
      </c>
      <c r="Q78" s="32">
        <f t="shared" si="17"/>
        <v>0.6</v>
      </c>
      <c r="R78" s="32">
        <f t="shared" si="18"/>
        <v>0.57600000000000007</v>
      </c>
      <c r="S78" s="33">
        <f t="shared" si="19"/>
        <v>0.50666666666666671</v>
      </c>
      <c r="T78" s="90">
        <f t="shared" si="20"/>
        <v>15.733333333333334</v>
      </c>
      <c r="U78" s="130" t="e">
        <f>IF($C78=0,"",INDEX(Список!I$6:I$85,MATCH($C78,Список_учителя,0)))</f>
        <v>#N/A</v>
      </c>
      <c r="V78" s="145"/>
    </row>
    <row r="79" spans="1:22" ht="12" customHeight="1">
      <c r="A79" s="51">
        <v>4</v>
      </c>
      <c r="B79" s="54">
        <f>IF($A79=0,"",INDEX(Список!O$6:O$85,$A79))</f>
        <v>1</v>
      </c>
      <c r="C79" s="53" t="str">
        <f>IF(A79=0,"",INDEX(Список!M$6:M$85,A79))</f>
        <v>Алферова Н. М.</v>
      </c>
      <c r="D79" s="53" t="str">
        <f>IF(A79=0,"",INDEX(Список!N$6:N$85,A79))</f>
        <v>Русский язык</v>
      </c>
      <c r="E79" s="54">
        <f>VLOOKUP(D79,ШкалаТрудн!$C$5:$N$36,LEFT(F79,2)+1,0)</f>
        <v>12</v>
      </c>
      <c r="F79" s="27" t="s">
        <v>120</v>
      </c>
      <c r="G79" s="30">
        <v>23</v>
      </c>
      <c r="H79" s="143"/>
      <c r="I79" s="143">
        <v>5</v>
      </c>
      <c r="J79" s="143">
        <v>18</v>
      </c>
      <c r="K79" s="143"/>
      <c r="L79" s="143"/>
      <c r="M79" s="144"/>
      <c r="N79" s="29" t="b">
        <f t="shared" si="14"/>
        <v>1</v>
      </c>
      <c r="O79" s="31">
        <f t="shared" si="15"/>
        <v>3.2173913043478262</v>
      </c>
      <c r="P79" s="32">
        <f t="shared" si="16"/>
        <v>1</v>
      </c>
      <c r="Q79" s="32">
        <f t="shared" si="17"/>
        <v>0.21739130434782608</v>
      </c>
      <c r="R79" s="32">
        <f t="shared" si="18"/>
        <v>0.42086956521739127</v>
      </c>
      <c r="S79" s="33">
        <f t="shared" si="19"/>
        <v>0.17391304347826086</v>
      </c>
      <c r="T79" s="90">
        <f t="shared" si="20"/>
        <v>15.217391304347826</v>
      </c>
      <c r="U79" s="130">
        <f>IF($C79=0,"",INDEX(Список!I$6:I$85,MATCH($C79,Список_учителя,0)))</f>
        <v>2</v>
      </c>
      <c r="V79" s="145"/>
    </row>
    <row r="80" spans="1:22" ht="12" customHeight="1">
      <c r="A80" s="51">
        <v>3</v>
      </c>
      <c r="B80" s="54">
        <f>IF($A80=0,"",INDEX(Список!O$6:O$85,$A80))</f>
        <v>1</v>
      </c>
      <c r="C80" s="53" t="str">
        <f>IF(A80=0,"",INDEX(Список!M$6:M$85,A80))</f>
        <v>Алферова Н. М.</v>
      </c>
      <c r="D80" s="53" t="str">
        <f>IF(A80=0,"",INDEX(Список!N$6:N$85,A80))</f>
        <v>Литература</v>
      </c>
      <c r="E80" s="54">
        <f>VLOOKUP(D80,ШкалаТрудн!$C$5:$N$36,LEFT(F80,2)+1,0)</f>
        <v>6</v>
      </c>
      <c r="F80" s="27" t="s">
        <v>120</v>
      </c>
      <c r="G80" s="30">
        <v>23</v>
      </c>
      <c r="H80" s="143">
        <v>8</v>
      </c>
      <c r="I80" s="143">
        <v>12</v>
      </c>
      <c r="J80" s="143">
        <v>3</v>
      </c>
      <c r="K80" s="143"/>
      <c r="L80" s="143"/>
      <c r="M80" s="144"/>
      <c r="N80" s="29" t="b">
        <f t="shared" si="14"/>
        <v>1</v>
      </c>
      <c r="O80" s="31">
        <f t="shared" si="15"/>
        <v>4.2173913043478262</v>
      </c>
      <c r="P80" s="32">
        <f t="shared" si="16"/>
        <v>1</v>
      </c>
      <c r="Q80" s="32">
        <f t="shared" si="17"/>
        <v>0.86956521739130432</v>
      </c>
      <c r="R80" s="32">
        <f t="shared" si="18"/>
        <v>0.72869565217391297</v>
      </c>
      <c r="S80" s="33">
        <f t="shared" si="19"/>
        <v>0.76521739130434785</v>
      </c>
      <c r="T80" s="90">
        <f t="shared" si="20"/>
        <v>10.217391304347826</v>
      </c>
      <c r="U80" s="130">
        <f>IF($C80=0,"",INDEX(Список!I$6:I$85,MATCH($C80,Список_учителя,0)))</f>
        <v>2</v>
      </c>
      <c r="V80" s="145"/>
    </row>
    <row r="81" spans="1:22" ht="12" customHeight="1">
      <c r="A81" s="141">
        <v>31</v>
      </c>
      <c r="B81" s="54">
        <f>IF($A81=0,"",INDEX(Список!O$6:O$85,$A81))</f>
        <v>3</v>
      </c>
      <c r="C81" s="53" t="str">
        <f>IF(A81=0,"",INDEX(Список!M$6:M$85,A81))</f>
        <v xml:space="preserve">Кузнецова Н. М. </v>
      </c>
      <c r="D81" s="53" t="str">
        <f>IF(A81=0,"",INDEX(Список!N$6:N$85,A81))</f>
        <v>Алгебра</v>
      </c>
      <c r="E81" s="54">
        <f>VLOOKUP(D81,ШкалаТрудн!$C$5:$N$36,LEFT(F81,2)+1,0)</f>
        <v>0</v>
      </c>
      <c r="F81" s="27" t="s">
        <v>120</v>
      </c>
      <c r="G81" s="30">
        <v>12</v>
      </c>
      <c r="H81" s="143">
        <v>2</v>
      </c>
      <c r="I81" s="143">
        <v>2</v>
      </c>
      <c r="J81" s="143">
        <v>8</v>
      </c>
      <c r="K81" s="143"/>
      <c r="L81" s="143"/>
      <c r="M81" s="144"/>
      <c r="N81" s="29" t="b">
        <f t="shared" si="14"/>
        <v>1</v>
      </c>
      <c r="O81" s="31">
        <f t="shared" si="15"/>
        <v>3.5</v>
      </c>
      <c r="P81" s="32">
        <f t="shared" si="16"/>
        <v>1</v>
      </c>
      <c r="Q81" s="32">
        <f t="shared" si="17"/>
        <v>0.33333333333333331</v>
      </c>
      <c r="R81" s="32">
        <f t="shared" si="18"/>
        <v>0.51333333333333331</v>
      </c>
      <c r="S81" s="33">
        <f t="shared" si="19"/>
        <v>0.3</v>
      </c>
      <c r="T81" s="90">
        <f t="shared" si="20"/>
        <v>3.5</v>
      </c>
      <c r="U81" s="130" t="e">
        <f>IF($C81=0,"",INDEX(Список!I$6:I$85,MATCH($C81,Список_учителя,0)))</f>
        <v>#N/A</v>
      </c>
      <c r="V81" s="145"/>
    </row>
    <row r="82" spans="1:22" ht="12" customHeight="1">
      <c r="A82" s="52">
        <v>26</v>
      </c>
      <c r="B82" s="54">
        <f>IF($A82=0,"",INDEX(Список!O$6:O$85,$A82))</f>
        <v>1</v>
      </c>
      <c r="C82" s="53" t="str">
        <f>IF(A82=0,"",INDEX(Список!M$6:M$85,A82))</f>
        <v>Клочко А.М.</v>
      </c>
      <c r="D82" s="53" t="str">
        <f>IF(A82=0,"",INDEX(Список!N$6:N$85,A82))</f>
        <v>Русский язык</v>
      </c>
      <c r="E82" s="54">
        <f>VLOOKUP(D82,ШкалаТрудн!$C$5:$N$36,LEFT(F82,2)+1,0)</f>
        <v>12</v>
      </c>
      <c r="F82" s="27" t="s">
        <v>120</v>
      </c>
      <c r="G82" s="30">
        <v>9</v>
      </c>
      <c r="H82" s="143"/>
      <c r="I82" s="143">
        <v>3</v>
      </c>
      <c r="J82" s="143">
        <v>6</v>
      </c>
      <c r="K82" s="143"/>
      <c r="L82" s="143"/>
      <c r="M82" s="144"/>
      <c r="N82" s="29" t="b">
        <f t="shared" si="14"/>
        <v>1</v>
      </c>
      <c r="O82" s="31">
        <f t="shared" si="15"/>
        <v>3.3333333333333335</v>
      </c>
      <c r="P82" s="32">
        <f t="shared" si="16"/>
        <v>1</v>
      </c>
      <c r="Q82" s="32">
        <f t="shared" si="17"/>
        <v>0.33333333333333331</v>
      </c>
      <c r="R82" s="32">
        <f t="shared" si="18"/>
        <v>0.45333333333333337</v>
      </c>
      <c r="S82" s="33">
        <f t="shared" si="19"/>
        <v>0.26666666666666666</v>
      </c>
      <c r="T82" s="90">
        <f t="shared" si="20"/>
        <v>15.333333333333334</v>
      </c>
      <c r="U82" s="130" t="e">
        <f>IF($C82=0,"",INDEX(Список!I$6:I$85,MATCH($C82,Список_учителя,0)))</f>
        <v>#N/A</v>
      </c>
      <c r="V82" s="145"/>
    </row>
    <row r="83" spans="1:22" ht="12" customHeight="1">
      <c r="A83" s="141">
        <v>47</v>
      </c>
      <c r="B83" s="54">
        <f>IF($A83=0,"",INDEX(Список!O$6:O$85,$A83))</f>
        <v>3</v>
      </c>
      <c r="C83" s="53" t="str">
        <f>IF(A83=0,"",INDEX(Список!M$6:M$85,A83))</f>
        <v>Новикова А. Р.</v>
      </c>
      <c r="D83" s="53" t="str">
        <f>IF(A83=0,"",INDEX(Список!N$6:N$85,A83))</f>
        <v>Геометрия</v>
      </c>
      <c r="E83" s="54">
        <f>VLOOKUP(D83,ШкалаТрудн!$C$5:$N$36,LEFT(F83,2)+1,0)</f>
        <v>0</v>
      </c>
      <c r="F83" s="27" t="s">
        <v>120</v>
      </c>
      <c r="G83" s="30">
        <v>23</v>
      </c>
      <c r="H83" s="143">
        <v>4</v>
      </c>
      <c r="I83" s="143">
        <v>3</v>
      </c>
      <c r="J83" s="143">
        <v>16</v>
      </c>
      <c r="K83" s="143"/>
      <c r="L83" s="143"/>
      <c r="M83" s="144"/>
      <c r="N83" s="29" t="b">
        <f t="shared" si="14"/>
        <v>1</v>
      </c>
      <c r="O83" s="31">
        <f t="shared" si="15"/>
        <v>3.4782608695652173</v>
      </c>
      <c r="P83" s="32">
        <f t="shared" si="16"/>
        <v>1</v>
      </c>
      <c r="Q83" s="32">
        <f t="shared" si="17"/>
        <v>0.30434782608695654</v>
      </c>
      <c r="R83" s="32">
        <f t="shared" si="18"/>
        <v>0.50782608695652176</v>
      </c>
      <c r="S83" s="33">
        <f t="shared" si="19"/>
        <v>0.27826086956521739</v>
      </c>
      <c r="T83" s="90">
        <f t="shared" si="20"/>
        <v>3.4782608695652173</v>
      </c>
      <c r="U83" s="130">
        <f>IF($C83=0,"",INDEX(Список!I$6:I$85,MATCH($C83,Список_учителя,0)))</f>
        <v>26</v>
      </c>
      <c r="V83" s="145"/>
    </row>
    <row r="84" spans="1:22" ht="12" customHeight="1">
      <c r="A84" s="141">
        <v>30</v>
      </c>
      <c r="B84" s="54">
        <f>IF($A84=0,"",INDEX(Список!O$6:O$85,$A84))</f>
        <v>2</v>
      </c>
      <c r="C84" s="53" t="str">
        <f>IF(A84=0,"",INDEX(Список!M$6:M$85,A84))</f>
        <v>Кравченко Л. И.</v>
      </c>
      <c r="D84" s="53" t="str">
        <f>IF(A84=0,"",INDEX(Список!N$6:N$85,A84))</f>
        <v>Английский язык</v>
      </c>
      <c r="E84" s="54">
        <f>VLOOKUP(D84,ШкалаТрудн!$C$5:$N$36,LEFT(F84,2)+1,0)</f>
        <v>11</v>
      </c>
      <c r="F84" s="27" t="s">
        <v>121</v>
      </c>
      <c r="G84" s="30">
        <v>26</v>
      </c>
      <c r="H84" s="143">
        <v>5</v>
      </c>
      <c r="I84" s="143">
        <v>12</v>
      </c>
      <c r="J84" s="143">
        <v>9</v>
      </c>
      <c r="K84" s="143"/>
      <c r="L84" s="143"/>
      <c r="M84" s="144"/>
      <c r="N84" s="29" t="b">
        <f t="shared" si="14"/>
        <v>1</v>
      </c>
      <c r="O84" s="31">
        <f t="shared" si="15"/>
        <v>3.8461538461538463</v>
      </c>
      <c r="P84" s="32">
        <f t="shared" si="16"/>
        <v>1</v>
      </c>
      <c r="Q84" s="32">
        <f t="shared" si="17"/>
        <v>0.65384615384615385</v>
      </c>
      <c r="R84" s="32">
        <f t="shared" si="18"/>
        <v>0.61230769230769233</v>
      </c>
      <c r="S84" s="33">
        <f t="shared" si="19"/>
        <v>0.56153846153846154</v>
      </c>
      <c r="T84" s="90">
        <f t="shared" si="20"/>
        <v>14.846153846153847</v>
      </c>
      <c r="U84" s="130">
        <f>IF($C84=0,"",INDEX(Список!I$6:I$85,MATCH($C84,Список_учителя,0)))</f>
        <v>15</v>
      </c>
      <c r="V84" s="145"/>
    </row>
    <row r="85" spans="1:22" ht="12" customHeight="1">
      <c r="A85" s="52">
        <v>28</v>
      </c>
      <c r="B85" s="54">
        <f>IF($A85=0,"",INDEX(Список!O$6:O$85,$A85))</f>
        <v>1</v>
      </c>
      <c r="C85" s="53" t="str">
        <f>IF(A85=0,"",INDEX(Список!M$6:M$85,A85))</f>
        <v>Кожанова О. В.</v>
      </c>
      <c r="D85" s="53" t="str">
        <f>IF(A85=0,"",INDEX(Список!N$6:N$85,A85))</f>
        <v>Русский язык</v>
      </c>
      <c r="E85" s="54">
        <f>VLOOKUP(D85,ШкалаТрудн!$C$5:$N$36,LEFT(F85,2)+1,0)</f>
        <v>12</v>
      </c>
      <c r="F85" s="27" t="s">
        <v>121</v>
      </c>
      <c r="G85" s="30">
        <v>26</v>
      </c>
      <c r="H85" s="143">
        <v>12</v>
      </c>
      <c r="I85" s="143">
        <v>11</v>
      </c>
      <c r="J85" s="143">
        <v>3</v>
      </c>
      <c r="K85" s="143"/>
      <c r="L85" s="143"/>
      <c r="M85" s="144"/>
      <c r="N85" s="29" t="b">
        <f t="shared" si="14"/>
        <v>1</v>
      </c>
      <c r="O85" s="31">
        <f t="shared" ref="O85:O103" si="21">(5*H85+4*I85+3*J85+2*K85)/(G85-M85)</f>
        <v>4.3461538461538458</v>
      </c>
      <c r="P85" s="32">
        <f t="shared" ref="P85:P103" si="22">(SUM(H85:J85)/(G85-M85))</f>
        <v>1</v>
      </c>
      <c r="Q85" s="32">
        <f t="shared" ref="Q85:Q103" si="23">(SUM(H85:I85)/(G85-M85))</f>
        <v>0.88461538461538458</v>
      </c>
      <c r="R85" s="32">
        <f t="shared" ref="R85:R103" si="24">(H85+I85*0.64+J85*0.36+K85*0.16)/(G85-M85)</f>
        <v>0.77384615384615374</v>
      </c>
      <c r="S85" s="33">
        <f t="shared" ref="S85:S103" si="25">(5*H85+4*I85)/((G85-M85)*5)</f>
        <v>0.8</v>
      </c>
      <c r="T85" s="90">
        <f t="shared" si="20"/>
        <v>16.346153846153847</v>
      </c>
      <c r="U85" s="130">
        <f>IF($C85=0,"",INDEX(Список!I$6:I$85,MATCH($C85,Список_учителя,0)))</f>
        <v>13</v>
      </c>
      <c r="V85" s="145"/>
    </row>
    <row r="86" spans="1:22" ht="12" customHeight="1">
      <c r="A86" s="51">
        <v>47</v>
      </c>
      <c r="B86" s="54">
        <f>IF($A86=0,"",INDEX(Список!O$6:O$85,$A86))</f>
        <v>3</v>
      </c>
      <c r="C86" s="53" t="str">
        <f>IF(A86=0,"",INDEX(Список!M$6:M$85,A86))</f>
        <v>Новикова А. Р.</v>
      </c>
      <c r="D86" s="53" t="str">
        <f>IF(A86=0,"",INDEX(Список!N$6:N$85,A86))</f>
        <v>Геометрия</v>
      </c>
      <c r="E86" s="54">
        <f>VLOOKUP(D86,ШкалаТрудн!$C$5:$N$36,LEFT(F86,2)+1,0)</f>
        <v>0</v>
      </c>
      <c r="F86" s="27" t="s">
        <v>121</v>
      </c>
      <c r="G86" s="30">
        <v>26</v>
      </c>
      <c r="H86" s="143">
        <v>5</v>
      </c>
      <c r="I86" s="143">
        <v>8</v>
      </c>
      <c r="J86" s="143">
        <v>13</v>
      </c>
      <c r="K86" s="143"/>
      <c r="L86" s="143"/>
      <c r="M86" s="144"/>
      <c r="N86" s="29" t="b">
        <f t="shared" ref="N86:N107" si="26">G86=M86+L86+K86+J86+I86+H86</f>
        <v>1</v>
      </c>
      <c r="O86" s="31">
        <f t="shared" si="21"/>
        <v>3.6923076923076925</v>
      </c>
      <c r="P86" s="32">
        <f t="shared" si="22"/>
        <v>1</v>
      </c>
      <c r="Q86" s="32">
        <f t="shared" si="23"/>
        <v>0.5</v>
      </c>
      <c r="R86" s="32">
        <f t="shared" si="24"/>
        <v>0.56923076923076921</v>
      </c>
      <c r="S86" s="33">
        <f t="shared" si="25"/>
        <v>0.43846153846153846</v>
      </c>
      <c r="T86" s="90">
        <f t="shared" ref="T86:T107" si="27">(O86+E86)-0.2*(K86+L86)</f>
        <v>3.6923076923076925</v>
      </c>
      <c r="U86" s="130">
        <f>IF($C86=0,"",INDEX(Список!I$6:I$85,MATCH($C86,Список_учителя,0)))</f>
        <v>26</v>
      </c>
      <c r="V86" s="145"/>
    </row>
    <row r="87" spans="1:22" ht="12" customHeight="1">
      <c r="A87" s="51">
        <v>54</v>
      </c>
      <c r="B87" s="54">
        <f>IF($A87=0,"",INDEX(Список!O$6:O$85,$A87))</f>
        <v>5</v>
      </c>
      <c r="C87" s="53" t="str">
        <f>IF(A87=0,"",INDEX(Список!M$6:M$85,A87))</f>
        <v>Полякова Е. В.</v>
      </c>
      <c r="D87" s="53" t="str">
        <f>IF(A87=0,"",INDEX(Список!N$6:N$85,A87))</f>
        <v>География</v>
      </c>
      <c r="E87" s="54">
        <f>VLOOKUP(D87,ШкалаТрудн!$C$5:$N$36,LEFT(F87,2)+1,0)</f>
        <v>6</v>
      </c>
      <c r="F87" s="27" t="s">
        <v>122</v>
      </c>
      <c r="G87" s="30">
        <v>25</v>
      </c>
      <c r="H87" s="143">
        <v>1</v>
      </c>
      <c r="I87" s="143">
        <v>12</v>
      </c>
      <c r="J87" s="143">
        <v>12</v>
      </c>
      <c r="K87" s="143"/>
      <c r="L87" s="143"/>
      <c r="M87" s="144"/>
      <c r="N87" s="29" t="b">
        <f t="shared" si="26"/>
        <v>1</v>
      </c>
      <c r="O87" s="31">
        <f t="shared" si="21"/>
        <v>3.56</v>
      </c>
      <c r="P87" s="32">
        <f t="shared" si="22"/>
        <v>1</v>
      </c>
      <c r="Q87" s="32">
        <f t="shared" si="23"/>
        <v>0.52</v>
      </c>
      <c r="R87" s="32">
        <f t="shared" si="24"/>
        <v>0.52</v>
      </c>
      <c r="S87" s="33">
        <f t="shared" si="25"/>
        <v>0.42399999999999999</v>
      </c>
      <c r="T87" s="90">
        <f t="shared" si="27"/>
        <v>9.56</v>
      </c>
      <c r="U87" s="130">
        <f>IF($C87=0,"",INDEX(Список!I$6:I$85,MATCH($C87,Список_учителя,0)))</f>
        <v>31</v>
      </c>
      <c r="V87" s="145"/>
    </row>
    <row r="88" spans="1:22" ht="12" customHeight="1">
      <c r="A88" s="51">
        <v>31</v>
      </c>
      <c r="B88" s="54">
        <f>IF($A88=0,"",INDEX(Список!O$6:O$85,$A88))</f>
        <v>3</v>
      </c>
      <c r="C88" s="53" t="str">
        <f>IF(A88=0,"",INDEX(Список!M$6:M$85,A88))</f>
        <v xml:space="preserve">Кузнецова Н. М. </v>
      </c>
      <c r="D88" s="53" t="str">
        <f>IF(A88=0,"",INDEX(Список!N$6:N$85,A88))</f>
        <v>Алгебра</v>
      </c>
      <c r="E88" s="54">
        <f>VLOOKUP(D88,ШкалаТрудн!$C$5:$N$36,LEFT(F88,2)+1,0)</f>
        <v>10</v>
      </c>
      <c r="F88" s="27" t="s">
        <v>122</v>
      </c>
      <c r="G88" s="30">
        <v>13</v>
      </c>
      <c r="H88" s="143"/>
      <c r="I88" s="143">
        <v>4</v>
      </c>
      <c r="J88" s="143">
        <v>9</v>
      </c>
      <c r="K88" s="143"/>
      <c r="L88" s="143"/>
      <c r="M88" s="144"/>
      <c r="N88" s="29" t="b">
        <f t="shared" si="26"/>
        <v>1</v>
      </c>
      <c r="O88" s="31">
        <f t="shared" si="21"/>
        <v>3.3076923076923075</v>
      </c>
      <c r="P88" s="32">
        <f t="shared" si="22"/>
        <v>1</v>
      </c>
      <c r="Q88" s="32">
        <f t="shared" si="23"/>
        <v>0.30769230769230771</v>
      </c>
      <c r="R88" s="32">
        <f t="shared" si="24"/>
        <v>0.44615384615384612</v>
      </c>
      <c r="S88" s="33">
        <f t="shared" si="25"/>
        <v>0.24615384615384617</v>
      </c>
      <c r="T88" s="90">
        <f t="shared" si="27"/>
        <v>13.307692307692307</v>
      </c>
      <c r="U88" s="130" t="e">
        <f>IF($C88=0,"",INDEX(Список!I$6:I$85,MATCH($C88,Список_учителя,0)))</f>
        <v>#N/A</v>
      </c>
      <c r="V88" s="145"/>
    </row>
    <row r="89" spans="1:22" ht="12" customHeight="1">
      <c r="A89" s="51">
        <v>59</v>
      </c>
      <c r="B89" s="54">
        <f>IF($A89=0,"",INDEX(Список!O$6:O$85,$A89))</f>
        <v>6</v>
      </c>
      <c r="C89" s="53" t="str">
        <f>IF(A89=0,"",INDEX(Список!M$6:M$85,A89))</f>
        <v>Руденко Н.Ю.</v>
      </c>
      <c r="D89" s="53" t="str">
        <f>IF(A89=0,"",INDEX(Список!N$6:N$85,A89))</f>
        <v>Музыка</v>
      </c>
      <c r="E89" s="54">
        <f>VLOOKUP(D89,ШкалаТрудн!$C$5:$N$36,LEFT(F89,2)+1,0)</f>
        <v>1</v>
      </c>
      <c r="F89" s="27" t="s">
        <v>122</v>
      </c>
      <c r="G89" s="30">
        <v>25</v>
      </c>
      <c r="H89" s="143">
        <v>2</v>
      </c>
      <c r="I89" s="143">
        <v>16</v>
      </c>
      <c r="J89" s="143">
        <v>7</v>
      </c>
      <c r="K89" s="143"/>
      <c r="L89" s="143"/>
      <c r="M89" s="144"/>
      <c r="N89" s="29" t="b">
        <f t="shared" si="26"/>
        <v>1</v>
      </c>
      <c r="O89" s="31">
        <f t="shared" si="21"/>
        <v>3.8</v>
      </c>
      <c r="P89" s="32">
        <f t="shared" si="22"/>
        <v>1</v>
      </c>
      <c r="Q89" s="32">
        <f t="shared" si="23"/>
        <v>0.72</v>
      </c>
      <c r="R89" s="32">
        <f t="shared" si="24"/>
        <v>0.59040000000000004</v>
      </c>
      <c r="S89" s="33">
        <f t="shared" si="25"/>
        <v>0.59199999999999997</v>
      </c>
      <c r="T89" s="90">
        <f t="shared" si="27"/>
        <v>4.8</v>
      </c>
      <c r="U89" s="130">
        <f>IF($C89=0,"",INDEX(Список!I$6:I$85,MATCH($C89,Список_учителя,0)))</f>
        <v>34</v>
      </c>
      <c r="V89" s="145"/>
    </row>
    <row r="90" spans="1:22" ht="12" customHeight="1">
      <c r="A90" s="51">
        <v>47</v>
      </c>
      <c r="B90" s="54">
        <f>IF($A90=0,"",INDEX(Список!O$6:O$85,$A90))</f>
        <v>3</v>
      </c>
      <c r="C90" s="53" t="str">
        <f>IF(A90=0,"",INDEX(Список!M$6:M$85,A90))</f>
        <v>Новикова А. Р.</v>
      </c>
      <c r="D90" s="53" t="str">
        <f>IF(A90=0,"",INDEX(Список!N$6:N$85,A90))</f>
        <v>Геометрия</v>
      </c>
      <c r="E90" s="54">
        <f>VLOOKUP(D90,ШкалаТрудн!$C$5:$N$36,LEFT(F90,2)+1,0)</f>
        <v>12</v>
      </c>
      <c r="F90" s="27" t="s">
        <v>122</v>
      </c>
      <c r="G90" s="30">
        <v>25</v>
      </c>
      <c r="H90" s="143">
        <v>1</v>
      </c>
      <c r="I90" s="143">
        <v>8</v>
      </c>
      <c r="J90" s="143">
        <v>16</v>
      </c>
      <c r="K90" s="143"/>
      <c r="L90" s="143"/>
      <c r="M90" s="144"/>
      <c r="N90" s="29" t="b">
        <f t="shared" si="26"/>
        <v>1</v>
      </c>
      <c r="O90" s="31">
        <f t="shared" si="21"/>
        <v>3.4</v>
      </c>
      <c r="P90" s="32">
        <f t="shared" si="22"/>
        <v>1</v>
      </c>
      <c r="Q90" s="32">
        <f t="shared" si="23"/>
        <v>0.36</v>
      </c>
      <c r="R90" s="32">
        <f t="shared" si="24"/>
        <v>0.47519999999999996</v>
      </c>
      <c r="S90" s="33">
        <f t="shared" si="25"/>
        <v>0.29599999999999999</v>
      </c>
      <c r="T90" s="90">
        <f t="shared" si="27"/>
        <v>15.4</v>
      </c>
      <c r="U90" s="130">
        <f>IF($C90=0,"",INDEX(Список!I$6:I$85,MATCH($C90,Список_учителя,0)))</f>
        <v>26</v>
      </c>
      <c r="V90" s="145"/>
    </row>
    <row r="91" spans="1:22" ht="12" customHeight="1">
      <c r="A91" s="51">
        <v>59</v>
      </c>
      <c r="B91" s="54">
        <f>IF($A91=0,"",INDEX(Список!O$6:O$85,$A91))</f>
        <v>6</v>
      </c>
      <c r="C91" s="53" t="str">
        <f>IF(A91=0,"",INDEX(Список!M$6:M$85,A91))</f>
        <v>Руденко Н.Ю.</v>
      </c>
      <c r="D91" s="53" t="str">
        <f>IF(A91=0,"",INDEX(Список!N$6:N$85,A91))</f>
        <v>Музыка</v>
      </c>
      <c r="E91" s="54">
        <f>VLOOKUP(D91,ШкалаТрудн!$C$5:$N$36,LEFT(F91,2)+1,0)</f>
        <v>1</v>
      </c>
      <c r="F91" s="27" t="s">
        <v>123</v>
      </c>
      <c r="G91" s="30">
        <v>28</v>
      </c>
      <c r="H91" s="143">
        <v>5</v>
      </c>
      <c r="I91" s="143">
        <v>11</v>
      </c>
      <c r="J91" s="143">
        <v>12</v>
      </c>
      <c r="K91" s="143"/>
      <c r="L91" s="143"/>
      <c r="M91" s="144"/>
      <c r="N91" s="29" t="b">
        <f t="shared" si="26"/>
        <v>1</v>
      </c>
      <c r="O91" s="31">
        <f t="shared" si="21"/>
        <v>3.75</v>
      </c>
      <c r="P91" s="32">
        <f t="shared" si="22"/>
        <v>1</v>
      </c>
      <c r="Q91" s="32">
        <f t="shared" si="23"/>
        <v>0.5714285714285714</v>
      </c>
      <c r="R91" s="32">
        <f t="shared" si="24"/>
        <v>0.5842857142857143</v>
      </c>
      <c r="S91" s="33">
        <f t="shared" si="25"/>
        <v>0.49285714285714288</v>
      </c>
      <c r="T91" s="90">
        <f t="shared" si="27"/>
        <v>4.75</v>
      </c>
      <c r="U91" s="130">
        <f>IF($C91=0,"",INDEX(Список!I$6:I$85,MATCH($C91,Список_учителя,0)))</f>
        <v>34</v>
      </c>
      <c r="V91" s="145"/>
    </row>
    <row r="92" spans="1:22" ht="12" customHeight="1">
      <c r="A92" s="51">
        <v>47</v>
      </c>
      <c r="B92" s="54">
        <f>IF($A92=0,"",INDEX(Список!O$6:O$85,$A92))</f>
        <v>3</v>
      </c>
      <c r="C92" s="53" t="str">
        <f>IF(A92=0,"",INDEX(Список!M$6:M$85,A92))</f>
        <v>Новикова А. Р.</v>
      </c>
      <c r="D92" s="53" t="str">
        <f>IF(A92=0,"",INDEX(Список!N$6:N$85,A92))</f>
        <v>Геометрия</v>
      </c>
      <c r="E92" s="54">
        <f>VLOOKUP(D92,ШкалаТрудн!$C$5:$N$36,LEFT(F92,2)+1,0)</f>
        <v>12</v>
      </c>
      <c r="F92" s="27" t="s">
        <v>123</v>
      </c>
      <c r="G92" s="30">
        <v>28</v>
      </c>
      <c r="H92" s="143">
        <v>2</v>
      </c>
      <c r="I92" s="143">
        <v>5</v>
      </c>
      <c r="J92" s="143">
        <v>21</v>
      </c>
      <c r="K92" s="143"/>
      <c r="L92" s="143"/>
      <c r="M92" s="144"/>
      <c r="N92" s="29" t="b">
        <f t="shared" si="26"/>
        <v>1</v>
      </c>
      <c r="O92" s="31">
        <f t="shared" si="21"/>
        <v>3.3214285714285716</v>
      </c>
      <c r="P92" s="32">
        <f t="shared" si="22"/>
        <v>1</v>
      </c>
      <c r="Q92" s="32">
        <f t="shared" si="23"/>
        <v>0.25</v>
      </c>
      <c r="R92" s="32">
        <f t="shared" si="24"/>
        <v>0.45571428571428568</v>
      </c>
      <c r="S92" s="33">
        <f t="shared" si="25"/>
        <v>0.21428571428571427</v>
      </c>
      <c r="T92" s="90">
        <f t="shared" si="27"/>
        <v>15.321428571428571</v>
      </c>
      <c r="U92" s="130">
        <f>IF($C92=0,"",INDEX(Список!I$6:I$85,MATCH($C92,Список_учителя,0)))</f>
        <v>26</v>
      </c>
      <c r="V92" s="145"/>
    </row>
    <row r="93" spans="1:22" ht="12" customHeight="1">
      <c r="A93" s="51">
        <v>25</v>
      </c>
      <c r="B93" s="54">
        <f>IF($A93=0,"",INDEX(Список!O$6:O$85,$A93))</f>
        <v>9</v>
      </c>
      <c r="C93" s="53" t="str">
        <f>IF(A93=0,"",INDEX(Список!M$6:M$85,A93))</f>
        <v>Касьянова Н. А.</v>
      </c>
      <c r="D93" s="53" t="str">
        <f>IF(A93=0,"",INDEX(Список!N$6:N$85,A93))</f>
        <v>Естествознание НШ</v>
      </c>
      <c r="E93" s="54">
        <f>VLOOKUP(D93,ШкалаТрудн!$C$5:$N$36,LEFT(F93,2)+1,0)</f>
        <v>0</v>
      </c>
      <c r="F93" s="27" t="s">
        <v>124</v>
      </c>
      <c r="G93" s="30">
        <v>27</v>
      </c>
      <c r="H93" s="143"/>
      <c r="I93" s="143">
        <v>16</v>
      </c>
      <c r="J93" s="143">
        <v>11</v>
      </c>
      <c r="K93" s="143"/>
      <c r="L93" s="143"/>
      <c r="M93" s="144"/>
      <c r="N93" s="29" t="b">
        <f t="shared" si="26"/>
        <v>1</v>
      </c>
      <c r="O93" s="31">
        <f t="shared" si="21"/>
        <v>3.5925925925925926</v>
      </c>
      <c r="P93" s="32">
        <f t="shared" si="22"/>
        <v>1</v>
      </c>
      <c r="Q93" s="32">
        <f t="shared" si="23"/>
        <v>0.59259259259259256</v>
      </c>
      <c r="R93" s="32">
        <f t="shared" si="24"/>
        <v>0.52592592592592591</v>
      </c>
      <c r="S93" s="33">
        <f t="shared" si="25"/>
        <v>0.47407407407407409</v>
      </c>
      <c r="T93" s="90">
        <f t="shared" si="27"/>
        <v>3.5925925925925926</v>
      </c>
      <c r="U93" s="130">
        <f>IF($C93=0,"",INDEX(Список!I$6:I$85,MATCH($C93,Список_учителя,0)))</f>
        <v>11</v>
      </c>
      <c r="V93" s="145"/>
    </row>
    <row r="94" spans="1:22" ht="12" customHeight="1">
      <c r="A94" s="51">
        <v>23</v>
      </c>
      <c r="B94" s="54">
        <f>IF($A94=0,"",INDEX(Список!O$6:O$85,$A94))</f>
        <v>9</v>
      </c>
      <c r="C94" s="53" t="str">
        <f>IF(A94=0,"",INDEX(Список!M$6:M$85,A94))</f>
        <v>Касьянова Н. А.</v>
      </c>
      <c r="D94" s="53" t="str">
        <f>IF(A94=0,"",INDEX(Список!N$6:N$85,A94))</f>
        <v>Литература НШ</v>
      </c>
      <c r="E94" s="54">
        <f>VLOOKUP(D94,ШкалаТрудн!$C$5:$N$36,LEFT(F94,2)+1,0)</f>
        <v>0</v>
      </c>
      <c r="F94" s="27" t="s">
        <v>124</v>
      </c>
      <c r="G94" s="30">
        <v>27</v>
      </c>
      <c r="H94" s="143">
        <v>11</v>
      </c>
      <c r="I94" s="143">
        <v>14</v>
      </c>
      <c r="J94" s="143">
        <v>2</v>
      </c>
      <c r="K94" s="143"/>
      <c r="L94" s="143"/>
      <c r="M94" s="144"/>
      <c r="N94" s="29" t="b">
        <f t="shared" si="26"/>
        <v>1</v>
      </c>
      <c r="O94" s="31">
        <f t="shared" si="21"/>
        <v>4.333333333333333</v>
      </c>
      <c r="P94" s="32">
        <f t="shared" si="22"/>
        <v>1</v>
      </c>
      <c r="Q94" s="32">
        <f t="shared" si="23"/>
        <v>0.92592592592592593</v>
      </c>
      <c r="R94" s="32">
        <f t="shared" si="24"/>
        <v>0.7659259259259259</v>
      </c>
      <c r="S94" s="33">
        <f t="shared" si="25"/>
        <v>0.82222222222222219</v>
      </c>
      <c r="T94" s="90">
        <f t="shared" si="27"/>
        <v>4.333333333333333</v>
      </c>
      <c r="U94" s="130">
        <f>IF($C94=0,"",INDEX(Список!I$6:I$85,MATCH($C94,Список_учителя,0)))</f>
        <v>11</v>
      </c>
      <c r="V94" s="145"/>
    </row>
    <row r="95" spans="1:22" ht="12" customHeight="1">
      <c r="A95" s="51">
        <v>19</v>
      </c>
      <c r="B95" s="54">
        <f>IF($A95=0,"",INDEX(Список!O$6:O$85,$A95))</f>
        <v>1</v>
      </c>
      <c r="C95" s="53" t="str">
        <f>IF(A95=0,"",INDEX(Список!M$6:M$85,A95))</f>
        <v>Зайцева Н. А.</v>
      </c>
      <c r="D95" s="53" t="str">
        <f>IF(A95=0,"",INDEX(Список!N$6:N$85,A95))</f>
        <v>Русский язык</v>
      </c>
      <c r="E95" s="54">
        <f>VLOOKUP(D95,ШкалаТрудн!$C$5:$N$36,LEFT(F95,2)+1,0)</f>
        <v>11</v>
      </c>
      <c r="F95" s="27" t="s">
        <v>124</v>
      </c>
      <c r="G95" s="30">
        <v>15</v>
      </c>
      <c r="H95" s="143">
        <v>4</v>
      </c>
      <c r="I95" s="143">
        <v>9</v>
      </c>
      <c r="J95" s="143">
        <v>2</v>
      </c>
      <c r="K95" s="143"/>
      <c r="L95" s="143"/>
      <c r="M95" s="144"/>
      <c r="N95" s="29" t="b">
        <f t="shared" si="26"/>
        <v>1</v>
      </c>
      <c r="O95" s="31">
        <f t="shared" si="21"/>
        <v>4.1333333333333337</v>
      </c>
      <c r="P95" s="32">
        <f t="shared" si="22"/>
        <v>1</v>
      </c>
      <c r="Q95" s="32">
        <f t="shared" si="23"/>
        <v>0.8666666666666667</v>
      </c>
      <c r="R95" s="32">
        <f t="shared" si="24"/>
        <v>0.69866666666666666</v>
      </c>
      <c r="S95" s="33">
        <f t="shared" si="25"/>
        <v>0.7466666666666667</v>
      </c>
      <c r="T95" s="90">
        <f t="shared" si="27"/>
        <v>15.133333333333333</v>
      </c>
      <c r="U95" s="130">
        <f>IF($C95=0,"",INDEX(Список!I$6:I$85,MATCH($C95,Список_учителя,0)))</f>
        <v>8</v>
      </c>
      <c r="V95" s="145"/>
    </row>
    <row r="96" spans="1:22" ht="12" customHeight="1">
      <c r="A96" s="51">
        <v>72</v>
      </c>
      <c r="B96" s="54">
        <f>IF($A96=0,"",INDEX(Список!O$6:O$85,$A96))</f>
        <v>3</v>
      </c>
      <c r="C96" s="53" t="str">
        <f>IF(A96=0,"",INDEX(Список!M$6:M$85,A96))</f>
        <v xml:space="preserve">Тулинов Н. И. </v>
      </c>
      <c r="D96" s="53" t="str">
        <f>IF(A96=0,"",INDEX(Список!N$6:N$85,A96))</f>
        <v>Математика</v>
      </c>
      <c r="E96" s="54">
        <f>VLOOKUP(D96,ШкалаТрудн!$C$5:$N$36,LEFT(F96,2)+1,0)</f>
        <v>0</v>
      </c>
      <c r="F96" s="27" t="s">
        <v>124</v>
      </c>
      <c r="G96" s="28">
        <v>12</v>
      </c>
      <c r="H96" s="143">
        <v>3</v>
      </c>
      <c r="I96" s="143">
        <v>5</v>
      </c>
      <c r="J96" s="143">
        <v>4</v>
      </c>
      <c r="K96" s="143"/>
      <c r="L96" s="143"/>
      <c r="M96" s="144"/>
      <c r="N96" s="29" t="b">
        <f t="shared" si="26"/>
        <v>1</v>
      </c>
      <c r="O96" s="31">
        <f t="shared" si="21"/>
        <v>3.9166666666666665</v>
      </c>
      <c r="P96" s="32">
        <f t="shared" si="22"/>
        <v>1</v>
      </c>
      <c r="Q96" s="32">
        <f t="shared" si="23"/>
        <v>0.66666666666666663</v>
      </c>
      <c r="R96" s="32">
        <f t="shared" si="24"/>
        <v>0.63666666666666671</v>
      </c>
      <c r="S96" s="33">
        <f t="shared" si="25"/>
        <v>0.58333333333333337</v>
      </c>
      <c r="T96" s="90">
        <f t="shared" si="27"/>
        <v>3.9166666666666665</v>
      </c>
      <c r="U96" s="130">
        <f>IF($C96=0,"",INDEX(Список!I$6:I$85,MATCH($C96,Список_учителя,0)))</f>
        <v>39</v>
      </c>
      <c r="V96" s="145"/>
    </row>
    <row r="97" spans="1:22" ht="12" customHeight="1">
      <c r="A97" s="51">
        <v>59</v>
      </c>
      <c r="B97" s="54">
        <f>IF($A97=0,"",INDEX(Список!O$6:O$85,$A97))</f>
        <v>6</v>
      </c>
      <c r="C97" s="53" t="str">
        <f>IF(A97=0,"",INDEX(Список!M$6:M$85,A97))</f>
        <v>Руденко Н.Ю.</v>
      </c>
      <c r="D97" s="53" t="str">
        <f>IF(A97=0,"",INDEX(Список!N$6:N$85,A97))</f>
        <v>Музыка</v>
      </c>
      <c r="E97" s="54">
        <f>VLOOKUP(D97,ШкалаТрудн!$C$5:$N$36,LEFT(F97,2)+1,0)</f>
        <v>1</v>
      </c>
      <c r="F97" s="27" t="s">
        <v>124</v>
      </c>
      <c r="G97" s="30">
        <v>27</v>
      </c>
      <c r="H97" s="143">
        <v>3</v>
      </c>
      <c r="I97" s="143">
        <v>12</v>
      </c>
      <c r="J97" s="143">
        <v>12</v>
      </c>
      <c r="K97" s="143"/>
      <c r="L97" s="143"/>
      <c r="M97" s="144"/>
      <c r="N97" s="29" t="b">
        <f t="shared" si="26"/>
        <v>1</v>
      </c>
      <c r="O97" s="31">
        <f t="shared" si="21"/>
        <v>3.6666666666666665</v>
      </c>
      <c r="P97" s="32">
        <f t="shared" si="22"/>
        <v>1</v>
      </c>
      <c r="Q97" s="32">
        <f t="shared" si="23"/>
        <v>0.55555555555555558</v>
      </c>
      <c r="R97" s="32">
        <f t="shared" si="24"/>
        <v>0.55555555555555558</v>
      </c>
      <c r="S97" s="33">
        <f t="shared" si="25"/>
        <v>0.46666666666666667</v>
      </c>
      <c r="T97" s="90">
        <f t="shared" si="27"/>
        <v>4.6666666666666661</v>
      </c>
      <c r="U97" s="130">
        <f>IF($C97=0,"",INDEX(Список!I$6:I$85,MATCH($C97,Список_учителя,0)))</f>
        <v>34</v>
      </c>
      <c r="V97" s="145"/>
    </row>
    <row r="98" spans="1:22" ht="12" customHeight="1">
      <c r="A98" s="51">
        <v>47</v>
      </c>
      <c r="B98" s="54">
        <f>IF($A98=0,"",INDEX(Список!O$6:O$85,$A98))</f>
        <v>3</v>
      </c>
      <c r="C98" s="53" t="str">
        <f>IF(A98=0,"",INDEX(Список!M$6:M$85,A98))</f>
        <v>Новикова А. Р.</v>
      </c>
      <c r="D98" s="53" t="str">
        <f>IF(A98=0,"",INDEX(Список!N$6:N$85,A98))</f>
        <v>Геометрия</v>
      </c>
      <c r="E98" s="54">
        <f>VLOOKUP(D98,ШкалаТрудн!$C$5:$N$36,LEFT(F98,2)+1,0)</f>
        <v>12</v>
      </c>
      <c r="F98" s="27" t="s">
        <v>124</v>
      </c>
      <c r="G98" s="30">
        <v>27</v>
      </c>
      <c r="H98" s="143">
        <v>2</v>
      </c>
      <c r="I98" s="143">
        <v>5</v>
      </c>
      <c r="J98" s="143">
        <v>20</v>
      </c>
      <c r="K98" s="143"/>
      <c r="L98" s="143"/>
      <c r="M98" s="144"/>
      <c r="N98" s="29" t="b">
        <f t="shared" si="26"/>
        <v>1</v>
      </c>
      <c r="O98" s="31">
        <f t="shared" si="21"/>
        <v>3.3333333333333335</v>
      </c>
      <c r="P98" s="32">
        <f t="shared" si="22"/>
        <v>1</v>
      </c>
      <c r="Q98" s="32">
        <f t="shared" si="23"/>
        <v>0.25925925925925924</v>
      </c>
      <c r="R98" s="32">
        <f t="shared" si="24"/>
        <v>0.4592592592592592</v>
      </c>
      <c r="S98" s="33">
        <f t="shared" si="25"/>
        <v>0.22222222222222221</v>
      </c>
      <c r="T98" s="90">
        <f t="shared" si="27"/>
        <v>15.333333333333334</v>
      </c>
      <c r="U98" s="130">
        <f>IF($C98=0,"",INDEX(Список!I$6:I$85,MATCH($C98,Список_учителя,0)))</f>
        <v>26</v>
      </c>
      <c r="V98" s="145"/>
    </row>
    <row r="99" spans="1:22" ht="12" customHeight="1">
      <c r="A99" s="51">
        <v>18</v>
      </c>
      <c r="B99" s="54">
        <f>IF($A99=0,"",INDEX(Список!O$6:O$85,$A99))</f>
        <v>3</v>
      </c>
      <c r="C99" s="53" t="str">
        <f>IF(A99=0,"",INDEX(Список!M$6:M$85,A99))</f>
        <v>Даниленко И. Н.</v>
      </c>
      <c r="D99" s="53" t="str">
        <f>IF(A99=0,"",INDEX(Список!N$6:N$85,A99))</f>
        <v>Информатика</v>
      </c>
      <c r="E99" s="54">
        <f>VLOOKUP(D99,ШкалаТрудн!$C$5:$N$36,LEFT(F99,2)+1,0)</f>
        <v>4</v>
      </c>
      <c r="F99" s="27" t="s">
        <v>124</v>
      </c>
      <c r="G99" s="28">
        <v>27</v>
      </c>
      <c r="H99" s="143">
        <v>2</v>
      </c>
      <c r="I99" s="143">
        <v>11</v>
      </c>
      <c r="J99" s="143">
        <v>14</v>
      </c>
      <c r="K99" s="143"/>
      <c r="L99" s="143"/>
      <c r="M99" s="144"/>
      <c r="N99" s="29" t="b">
        <f t="shared" si="26"/>
        <v>1</v>
      </c>
      <c r="O99" s="31">
        <f t="shared" si="21"/>
        <v>3.5555555555555554</v>
      </c>
      <c r="P99" s="32">
        <f t="shared" si="22"/>
        <v>1</v>
      </c>
      <c r="Q99" s="32">
        <f t="shared" si="23"/>
        <v>0.48148148148148145</v>
      </c>
      <c r="R99" s="32">
        <f t="shared" si="24"/>
        <v>0.52148148148148143</v>
      </c>
      <c r="S99" s="33">
        <f t="shared" si="25"/>
        <v>0.4</v>
      </c>
      <c r="T99" s="90">
        <f t="shared" si="27"/>
        <v>7.5555555555555554</v>
      </c>
      <c r="U99" s="130">
        <f>IF($C99=0,"",INDEX(Список!I$6:I$85,MATCH($C99,Список_учителя,0)))</f>
        <v>7</v>
      </c>
      <c r="V99" s="145"/>
    </row>
    <row r="100" spans="1:22" ht="12" customHeight="1">
      <c r="A100" s="51">
        <v>31</v>
      </c>
      <c r="B100" s="54">
        <f>IF($A100=0,"",INDEX(Список!O$6:O$85,$A100))</f>
        <v>3</v>
      </c>
      <c r="C100" s="53" t="str">
        <f>IF(A100=0,"",INDEX(Список!M$6:M$85,A100))</f>
        <v xml:space="preserve">Кузнецова Н. М. </v>
      </c>
      <c r="D100" s="53" t="str">
        <f>IF(A100=0,"",INDEX(Список!N$6:N$85,A100))</f>
        <v>Алгебра</v>
      </c>
      <c r="E100" s="54">
        <f>VLOOKUP(D100,ШкалаТрудн!$C$5:$N$36,LEFT(F100,2)+1,0)</f>
        <v>10</v>
      </c>
      <c r="F100" s="27" t="s">
        <v>125</v>
      </c>
      <c r="G100" s="30">
        <v>14</v>
      </c>
      <c r="H100" s="143">
        <v>2</v>
      </c>
      <c r="I100" s="143">
        <v>6</v>
      </c>
      <c r="J100" s="143">
        <v>6</v>
      </c>
      <c r="K100" s="143"/>
      <c r="L100" s="143"/>
      <c r="M100" s="144"/>
      <c r="N100" s="29" t="b">
        <f t="shared" si="26"/>
        <v>1</v>
      </c>
      <c r="O100" s="31">
        <f t="shared" si="21"/>
        <v>3.7142857142857144</v>
      </c>
      <c r="P100" s="32">
        <f t="shared" si="22"/>
        <v>1</v>
      </c>
      <c r="Q100" s="32">
        <f t="shared" si="23"/>
        <v>0.5714285714285714</v>
      </c>
      <c r="R100" s="32">
        <f t="shared" si="24"/>
        <v>0.5714285714285714</v>
      </c>
      <c r="S100" s="33">
        <f t="shared" si="25"/>
        <v>0.48571428571428571</v>
      </c>
      <c r="T100" s="90">
        <f t="shared" si="27"/>
        <v>13.714285714285715</v>
      </c>
      <c r="U100" s="130" t="e">
        <f>IF($C100=0,"",INDEX(Список!I$6:I$85,MATCH($C100,Список_учителя,0)))</f>
        <v>#N/A</v>
      </c>
      <c r="V100" s="145"/>
    </row>
    <row r="101" spans="1:22" ht="12" customHeight="1">
      <c r="A101" s="51">
        <v>59</v>
      </c>
      <c r="B101" s="54">
        <f>IF($A101=0,"",INDEX(Список!O$6:O$85,$A101))</f>
        <v>6</v>
      </c>
      <c r="C101" s="53" t="str">
        <f>IF(A101=0,"",INDEX(Список!M$6:M$85,A101))</f>
        <v>Руденко Н.Ю.</v>
      </c>
      <c r="D101" s="53" t="str">
        <f>IF(A101=0,"",INDEX(Список!N$6:N$85,A101))</f>
        <v>Музыка</v>
      </c>
      <c r="E101" s="54">
        <f>VLOOKUP(D101,ШкалаТрудн!$C$5:$N$36,LEFT(F101,2)+1,0)</f>
        <v>1</v>
      </c>
      <c r="F101" s="27" t="s">
        <v>125</v>
      </c>
      <c r="G101" s="30">
        <v>29</v>
      </c>
      <c r="H101" s="143">
        <v>8</v>
      </c>
      <c r="I101" s="143">
        <v>15</v>
      </c>
      <c r="J101" s="143">
        <v>6</v>
      </c>
      <c r="K101" s="143"/>
      <c r="L101" s="143"/>
      <c r="M101" s="144"/>
      <c r="N101" s="29" t="b">
        <f t="shared" si="26"/>
        <v>1</v>
      </c>
      <c r="O101" s="31">
        <f t="shared" si="21"/>
        <v>4.068965517241379</v>
      </c>
      <c r="P101" s="32">
        <f t="shared" si="22"/>
        <v>1</v>
      </c>
      <c r="Q101" s="32">
        <f t="shared" si="23"/>
        <v>0.7931034482758621</v>
      </c>
      <c r="R101" s="32">
        <f t="shared" si="24"/>
        <v>0.68137931034482768</v>
      </c>
      <c r="S101" s="33">
        <f t="shared" si="25"/>
        <v>0.68965517241379315</v>
      </c>
      <c r="T101" s="90">
        <f t="shared" si="27"/>
        <v>5.068965517241379</v>
      </c>
      <c r="U101" s="130">
        <f>IF($C101=0,"",INDEX(Список!I$6:I$85,MATCH($C101,Список_учителя,0)))</f>
        <v>34</v>
      </c>
      <c r="V101" s="145"/>
    </row>
    <row r="102" spans="1:22" ht="12" customHeight="1">
      <c r="A102" s="51">
        <v>47</v>
      </c>
      <c r="B102" s="54">
        <f>IF($A102=0,"",INDEX(Список!O$6:O$85,$A102))</f>
        <v>3</v>
      </c>
      <c r="C102" s="53" t="str">
        <f>IF(A102=0,"",INDEX(Список!M$6:M$85,A102))</f>
        <v>Новикова А. Р.</v>
      </c>
      <c r="D102" s="53" t="str">
        <f>IF(A102=0,"",INDEX(Список!N$6:N$85,A102))</f>
        <v>Геометрия</v>
      </c>
      <c r="E102" s="54">
        <f>VLOOKUP(D102,ШкалаТрудн!$C$5:$N$36,LEFT(F102,2)+1,0)</f>
        <v>12</v>
      </c>
      <c r="F102" s="27" t="s">
        <v>125</v>
      </c>
      <c r="G102" s="30">
        <v>29</v>
      </c>
      <c r="H102" s="143">
        <v>1</v>
      </c>
      <c r="I102" s="143">
        <v>12</v>
      </c>
      <c r="J102" s="143">
        <v>16</v>
      </c>
      <c r="K102" s="143"/>
      <c r="L102" s="143"/>
      <c r="M102" s="144"/>
      <c r="N102" s="29" t="b">
        <f t="shared" si="26"/>
        <v>1</v>
      </c>
      <c r="O102" s="31">
        <f t="shared" si="21"/>
        <v>3.4827586206896552</v>
      </c>
      <c r="P102" s="32">
        <f t="shared" si="22"/>
        <v>1</v>
      </c>
      <c r="Q102" s="32">
        <f t="shared" si="23"/>
        <v>0.44827586206896552</v>
      </c>
      <c r="R102" s="32">
        <f t="shared" si="24"/>
        <v>0.49793103448275861</v>
      </c>
      <c r="S102" s="33">
        <f t="shared" si="25"/>
        <v>0.36551724137931035</v>
      </c>
      <c r="T102" s="90">
        <f t="shared" si="27"/>
        <v>15.482758620689655</v>
      </c>
      <c r="U102" s="130">
        <f>IF($C102=0,"",INDEX(Список!I$6:I$85,MATCH($C102,Список_учителя,0)))</f>
        <v>26</v>
      </c>
      <c r="V102" s="145"/>
    </row>
    <row r="103" spans="1:22" ht="12" customHeight="1">
      <c r="A103" s="51">
        <v>18</v>
      </c>
      <c r="B103" s="54">
        <f>IF($A103=0,"",INDEX(Список!O$6:O$85,$A103))</f>
        <v>3</v>
      </c>
      <c r="C103" s="53" t="str">
        <f>IF(A103=0,"",INDEX(Список!M$6:M$85,A103))</f>
        <v>Даниленко И. Н.</v>
      </c>
      <c r="D103" s="53" t="str">
        <f>IF(A103=0,"",INDEX(Список!N$6:N$85,A103))</f>
        <v>Информатика</v>
      </c>
      <c r="E103" s="54">
        <f>VLOOKUP(D103,ШкалаТрудн!$C$5:$N$36,LEFT(F103,2)+1,0)</f>
        <v>4</v>
      </c>
      <c r="F103" s="27" t="s">
        <v>125</v>
      </c>
      <c r="G103" s="30">
        <v>29</v>
      </c>
      <c r="H103" s="143">
        <v>7</v>
      </c>
      <c r="I103" s="143">
        <v>19</v>
      </c>
      <c r="J103" s="143">
        <v>3</v>
      </c>
      <c r="K103" s="143"/>
      <c r="L103" s="143"/>
      <c r="M103" s="144"/>
      <c r="N103" s="29" t="b">
        <f t="shared" si="26"/>
        <v>1</v>
      </c>
      <c r="O103" s="31">
        <f t="shared" si="21"/>
        <v>4.1379310344827589</v>
      </c>
      <c r="P103" s="32">
        <f t="shared" si="22"/>
        <v>1</v>
      </c>
      <c r="Q103" s="32">
        <f t="shared" si="23"/>
        <v>0.89655172413793105</v>
      </c>
      <c r="R103" s="32">
        <f t="shared" si="24"/>
        <v>0.69793103448275873</v>
      </c>
      <c r="S103" s="33">
        <f t="shared" si="25"/>
        <v>0.76551724137931032</v>
      </c>
      <c r="T103" s="90">
        <f t="shared" si="27"/>
        <v>8.137931034482758</v>
      </c>
      <c r="U103" s="130">
        <f>IF($C103=0,"",INDEX(Список!I$6:I$85,MATCH($C103,Список_учителя,0)))</f>
        <v>7</v>
      </c>
      <c r="V103" s="145"/>
    </row>
    <row r="104" spans="1:22" ht="12" customHeight="1">
      <c r="A104" s="51">
        <v>55</v>
      </c>
      <c r="B104" s="54">
        <f>IF($A104=0,"",INDEX(Список!O$6:O$85,$A104))</f>
        <v>3</v>
      </c>
      <c r="C104" s="53" t="str">
        <f>IF(A104=0,"",INDEX(Список!M$6:M$85,A104))</f>
        <v>Попова Т. А.</v>
      </c>
      <c r="D104" s="53" t="str">
        <f>IF(A104=0,"",INDEX(Список!N$6:N$85,A104))</f>
        <v>Алгебра</v>
      </c>
      <c r="E104" s="54">
        <f>VLOOKUP(D104,ШкалаТрудн!$C$5:$N$36,LEFT(F104,2)+1,0)</f>
        <v>10</v>
      </c>
      <c r="F104" s="27" t="s">
        <v>126</v>
      </c>
      <c r="G104" s="30">
        <v>25</v>
      </c>
      <c r="H104" s="143">
        <v>1</v>
      </c>
      <c r="I104" s="143">
        <v>10</v>
      </c>
      <c r="J104" s="143">
        <v>14</v>
      </c>
      <c r="K104" s="143"/>
      <c r="L104" s="143"/>
      <c r="M104" s="144"/>
      <c r="N104" s="29" t="b">
        <f t="shared" si="26"/>
        <v>1</v>
      </c>
      <c r="O104" s="31">
        <f t="shared" ref="O104:O133" si="28">(5*H104+4*I104+3*J104+2*K104)/(G104-M104)</f>
        <v>3.48</v>
      </c>
      <c r="P104" s="32">
        <f t="shared" ref="P104:P133" si="29">(SUM(H104:J104)/(G104-M104))</f>
        <v>1</v>
      </c>
      <c r="Q104" s="32">
        <f t="shared" ref="Q104:Q133" si="30">(SUM(H104:I104)/(G104-M104))</f>
        <v>0.44</v>
      </c>
      <c r="R104" s="32">
        <f t="shared" ref="R104:R133" si="31">(H104+I104*0.64+J104*0.36+K104*0.16)/(G104-M104)</f>
        <v>0.49760000000000004</v>
      </c>
      <c r="S104" s="33">
        <f t="shared" ref="S104:S133" si="32">(5*H104+4*I104)/((G104-M104)*5)</f>
        <v>0.36</v>
      </c>
      <c r="T104" s="90">
        <f t="shared" si="27"/>
        <v>13.48</v>
      </c>
      <c r="U104" s="130">
        <f>IF($C104=0,"",INDEX(Список!I$6:I$85,MATCH($C104,Список_учителя,0)))</f>
        <v>32</v>
      </c>
      <c r="V104" s="145"/>
    </row>
    <row r="105" spans="1:22" ht="12" customHeight="1">
      <c r="A105" s="51">
        <v>54</v>
      </c>
      <c r="B105" s="54">
        <f>IF($A105=0,"",INDEX(Список!O$6:O$85,$A105))</f>
        <v>5</v>
      </c>
      <c r="C105" s="53" t="str">
        <f>IF(A105=0,"",INDEX(Список!M$6:M$85,A105))</f>
        <v>Полякова Е. В.</v>
      </c>
      <c r="D105" s="53" t="str">
        <f>IF(A105=0,"",INDEX(Список!N$6:N$85,A105))</f>
        <v>География</v>
      </c>
      <c r="E105" s="54">
        <f>VLOOKUP(D105,ШкалаТрудн!$C$5:$N$36,LEFT(F105,2)+1,0)</f>
        <v>6</v>
      </c>
      <c r="F105" s="27" t="s">
        <v>126</v>
      </c>
      <c r="G105" s="30">
        <v>25</v>
      </c>
      <c r="H105" s="143">
        <v>2</v>
      </c>
      <c r="I105" s="143">
        <v>11</v>
      </c>
      <c r="J105" s="143">
        <v>12</v>
      </c>
      <c r="K105" s="143"/>
      <c r="L105" s="143"/>
      <c r="M105" s="144"/>
      <c r="N105" s="29" t="b">
        <f t="shared" si="26"/>
        <v>1</v>
      </c>
      <c r="O105" s="31">
        <f t="shared" si="28"/>
        <v>3.6</v>
      </c>
      <c r="P105" s="32">
        <f t="shared" si="29"/>
        <v>1</v>
      </c>
      <c r="Q105" s="32">
        <f t="shared" si="30"/>
        <v>0.52</v>
      </c>
      <c r="R105" s="32">
        <f t="shared" si="31"/>
        <v>0.53439999999999999</v>
      </c>
      <c r="S105" s="33">
        <f t="shared" si="32"/>
        <v>0.432</v>
      </c>
      <c r="T105" s="90">
        <f t="shared" si="27"/>
        <v>9.6</v>
      </c>
      <c r="U105" s="130">
        <f>IF($C105=0,"",INDEX(Список!I$6:I$85,MATCH($C105,Список_учителя,0)))</f>
        <v>31</v>
      </c>
      <c r="V105" s="145"/>
    </row>
    <row r="106" spans="1:22" ht="12" customHeight="1">
      <c r="A106" s="51">
        <v>72</v>
      </c>
      <c r="B106" s="54">
        <f>IF($A106=0,"",INDEX(Список!O$6:O$85,$A106))</f>
        <v>3</v>
      </c>
      <c r="C106" s="53" t="str">
        <f>IF(A106=0,"",INDEX(Список!M$6:M$85,A106))</f>
        <v xml:space="preserve">Тулинов Н. И. </v>
      </c>
      <c r="D106" s="53" t="str">
        <f>IF(A106=0,"",INDEX(Список!N$6:N$85,A106))</f>
        <v>Математика</v>
      </c>
      <c r="E106" s="54">
        <f>VLOOKUP(D106,ШкалаТрудн!$C$5:$N$36,LEFT(F106,2)+1,0)</f>
        <v>0</v>
      </c>
      <c r="F106" s="27" t="s">
        <v>126</v>
      </c>
      <c r="G106" s="30">
        <v>12</v>
      </c>
      <c r="H106" s="143">
        <v>2</v>
      </c>
      <c r="I106" s="143">
        <v>2</v>
      </c>
      <c r="J106" s="143">
        <v>8</v>
      </c>
      <c r="K106" s="143"/>
      <c r="L106" s="143"/>
      <c r="M106" s="144"/>
      <c r="N106" s="29" t="b">
        <f t="shared" si="26"/>
        <v>1</v>
      </c>
      <c r="O106" s="31">
        <f t="shared" si="28"/>
        <v>3.5</v>
      </c>
      <c r="P106" s="32">
        <f t="shared" si="29"/>
        <v>1</v>
      </c>
      <c r="Q106" s="32">
        <f t="shared" si="30"/>
        <v>0.33333333333333331</v>
      </c>
      <c r="R106" s="32">
        <f t="shared" si="31"/>
        <v>0.51333333333333331</v>
      </c>
      <c r="S106" s="33">
        <f t="shared" si="32"/>
        <v>0.3</v>
      </c>
      <c r="T106" s="90">
        <f t="shared" si="27"/>
        <v>3.5</v>
      </c>
      <c r="U106" s="130">
        <f>IF($C106=0,"",INDEX(Список!I$6:I$85,MATCH($C106,Список_учителя,0)))</f>
        <v>39</v>
      </c>
      <c r="V106" s="145"/>
    </row>
    <row r="107" spans="1:22" ht="12" customHeight="1">
      <c r="A107" s="51">
        <v>2</v>
      </c>
      <c r="B107" s="54">
        <f>IF($A107=0,"",INDEX(Список!O$6:O$85,$A107))</f>
        <v>3</v>
      </c>
      <c r="C107" s="53" t="str">
        <f>IF(A107=0,"",INDEX(Список!M$6:M$85,A107))</f>
        <v>Адамян С. Ю.</v>
      </c>
      <c r="D107" s="53" t="str">
        <f>IF(A107=0,"",INDEX(Список!N$6:N$85,A107))</f>
        <v>Геометрия</v>
      </c>
      <c r="E107" s="54">
        <f>VLOOKUP(D107,ШкалаТрудн!$C$5:$N$36,LEFT(F107,2)+1,0)</f>
        <v>12</v>
      </c>
      <c r="F107" s="27" t="s">
        <v>126</v>
      </c>
      <c r="G107" s="30">
        <v>25</v>
      </c>
      <c r="H107" s="143">
        <v>1</v>
      </c>
      <c r="I107" s="143">
        <v>10</v>
      </c>
      <c r="J107" s="143">
        <v>14</v>
      </c>
      <c r="K107" s="143"/>
      <c r="L107" s="143"/>
      <c r="M107" s="144"/>
      <c r="N107" s="29" t="b">
        <f t="shared" si="26"/>
        <v>1</v>
      </c>
      <c r="O107" s="31">
        <f t="shared" si="28"/>
        <v>3.48</v>
      </c>
      <c r="P107" s="32">
        <f t="shared" si="29"/>
        <v>1</v>
      </c>
      <c r="Q107" s="32">
        <f t="shared" si="30"/>
        <v>0.44</v>
      </c>
      <c r="R107" s="32">
        <f t="shared" si="31"/>
        <v>0.49760000000000004</v>
      </c>
      <c r="S107" s="33">
        <f t="shared" si="32"/>
        <v>0.36</v>
      </c>
      <c r="T107" s="90">
        <f t="shared" si="27"/>
        <v>15.48</v>
      </c>
      <c r="U107" s="130" t="e">
        <f>IF($C107=0,"",INDEX(Список!I$6:I$85,MATCH($C107,Список_учителя,0)))</f>
        <v>#N/A</v>
      </c>
      <c r="V107" s="145"/>
    </row>
    <row r="108" spans="1:22" ht="12" customHeight="1">
      <c r="A108" s="51">
        <v>47</v>
      </c>
      <c r="B108" s="54">
        <f>IF($A108=0,"",INDEX(Список!O$6:O$85,$A108))</f>
        <v>3</v>
      </c>
      <c r="C108" s="53" t="str">
        <f>IF(A108=0,"",INDEX(Список!M$6:M$85,A108))</f>
        <v>Новикова А. Р.</v>
      </c>
      <c r="D108" s="53" t="str">
        <f>IF(A108=0,"",INDEX(Список!N$6:N$85,A108))</f>
        <v>Геометрия</v>
      </c>
      <c r="E108" s="54">
        <f>VLOOKUP(D108,ШкалаТрудн!$C$5:$N$36,LEFT(F108,2)+1,0)</f>
        <v>12</v>
      </c>
      <c r="F108" s="27" t="s">
        <v>126</v>
      </c>
      <c r="G108" s="30">
        <v>25</v>
      </c>
      <c r="H108" s="143">
        <v>1</v>
      </c>
      <c r="I108" s="143">
        <v>6</v>
      </c>
      <c r="J108" s="143">
        <v>18</v>
      </c>
      <c r="K108" s="143"/>
      <c r="L108" s="143"/>
      <c r="M108" s="144"/>
      <c r="N108" s="29" t="b">
        <f t="shared" ref="N108:N139" si="33">G108=M108+L108+K108+J108+I108+H108</f>
        <v>1</v>
      </c>
      <c r="O108" s="31">
        <f t="shared" si="28"/>
        <v>3.32</v>
      </c>
      <c r="P108" s="32">
        <f t="shared" si="29"/>
        <v>1</v>
      </c>
      <c r="Q108" s="32">
        <f t="shared" si="30"/>
        <v>0.28000000000000003</v>
      </c>
      <c r="R108" s="32">
        <f t="shared" si="31"/>
        <v>0.45280000000000004</v>
      </c>
      <c r="S108" s="33">
        <f t="shared" si="32"/>
        <v>0.23200000000000001</v>
      </c>
      <c r="T108" s="90">
        <f t="shared" ref="T108:T139" si="34">(O108+E108)-0.2*(K108+L108)</f>
        <v>15.32</v>
      </c>
      <c r="U108" s="130">
        <f>IF($C108=0,"",INDEX(Список!I$6:I$85,MATCH($C108,Список_учителя,0)))</f>
        <v>26</v>
      </c>
      <c r="V108" s="145"/>
    </row>
    <row r="109" spans="1:22" ht="12" customHeight="1">
      <c r="A109" s="51">
        <v>18</v>
      </c>
      <c r="B109" s="54">
        <f>IF($A109=0,"",INDEX(Список!O$6:O$85,$A109))</f>
        <v>3</v>
      </c>
      <c r="C109" s="53" t="str">
        <f>IF(A109=0,"",INDEX(Список!M$6:M$85,A109))</f>
        <v>Даниленко И. Н.</v>
      </c>
      <c r="D109" s="53" t="str">
        <f>IF(A109=0,"",INDEX(Список!N$6:N$85,A109))</f>
        <v>Информатика</v>
      </c>
      <c r="E109" s="54">
        <f>VLOOKUP(D109,ШкалаТрудн!$C$5:$N$36,LEFT(F109,2)+1,0)</f>
        <v>4</v>
      </c>
      <c r="F109" s="27" t="s">
        <v>126</v>
      </c>
      <c r="G109" s="30">
        <v>25</v>
      </c>
      <c r="H109" s="143">
        <v>6</v>
      </c>
      <c r="I109" s="143">
        <v>16</v>
      </c>
      <c r="J109" s="143">
        <v>3</v>
      </c>
      <c r="K109" s="143"/>
      <c r="L109" s="143"/>
      <c r="M109" s="144"/>
      <c r="N109" s="29" t="b">
        <f t="shared" si="33"/>
        <v>1</v>
      </c>
      <c r="O109" s="31">
        <f t="shared" si="28"/>
        <v>4.12</v>
      </c>
      <c r="P109" s="32">
        <f t="shared" si="29"/>
        <v>1</v>
      </c>
      <c r="Q109" s="32">
        <f t="shared" si="30"/>
        <v>0.88</v>
      </c>
      <c r="R109" s="32">
        <f t="shared" si="31"/>
        <v>0.69279999999999997</v>
      </c>
      <c r="S109" s="33">
        <f t="shared" si="32"/>
        <v>0.752</v>
      </c>
      <c r="T109" s="90">
        <f t="shared" si="34"/>
        <v>8.120000000000001</v>
      </c>
      <c r="U109" s="130">
        <f>IF($C109=0,"",INDEX(Список!I$6:I$85,MATCH($C109,Список_учителя,0)))</f>
        <v>7</v>
      </c>
      <c r="V109" s="145"/>
    </row>
    <row r="110" spans="1:22" ht="12" customHeight="1">
      <c r="A110" s="51">
        <v>55</v>
      </c>
      <c r="B110" s="54">
        <f>IF($A110=0,"",INDEX(Список!O$6:O$85,$A110))</f>
        <v>3</v>
      </c>
      <c r="C110" s="53" t="str">
        <f>IF(A110=0,"",INDEX(Список!M$6:M$85,A110))</f>
        <v>Попова Т. А.</v>
      </c>
      <c r="D110" s="53" t="str">
        <f>IF(A110=0,"",INDEX(Список!N$6:N$85,A110))</f>
        <v>Алгебра</v>
      </c>
      <c r="E110" s="54">
        <f>VLOOKUP(D110,ШкалаТрудн!$C$5:$N$36,LEFT(F110,2)+1,0)</f>
        <v>9</v>
      </c>
      <c r="F110" s="27" t="s">
        <v>127</v>
      </c>
      <c r="G110" s="30">
        <v>27</v>
      </c>
      <c r="H110" s="143"/>
      <c r="I110" s="143">
        <v>11</v>
      </c>
      <c r="J110" s="143">
        <v>14</v>
      </c>
      <c r="K110" s="143">
        <v>2</v>
      </c>
      <c r="L110" s="143"/>
      <c r="M110" s="144"/>
      <c r="N110" s="29" t="b">
        <f t="shared" si="33"/>
        <v>1</v>
      </c>
      <c r="O110" s="31">
        <f t="shared" si="28"/>
        <v>3.3333333333333335</v>
      </c>
      <c r="P110" s="32">
        <f t="shared" si="29"/>
        <v>0.92592592592592593</v>
      </c>
      <c r="Q110" s="32">
        <f t="shared" si="30"/>
        <v>0.40740740740740738</v>
      </c>
      <c r="R110" s="32">
        <f t="shared" si="31"/>
        <v>0.45925925925925926</v>
      </c>
      <c r="S110" s="33">
        <f t="shared" si="32"/>
        <v>0.32592592592592595</v>
      </c>
      <c r="T110" s="90">
        <f t="shared" si="34"/>
        <v>11.933333333333334</v>
      </c>
      <c r="U110" s="130">
        <f>IF($C110=0,"",INDEX(Список!I$6:I$85,MATCH($C110,Список_учителя,0)))</f>
        <v>32</v>
      </c>
      <c r="V110" s="145"/>
    </row>
    <row r="111" spans="1:22" ht="12" customHeight="1">
      <c r="A111" s="51">
        <v>54</v>
      </c>
      <c r="B111" s="54">
        <f>IF($A111=0,"",INDEX(Список!O$6:O$85,$A111))</f>
        <v>5</v>
      </c>
      <c r="C111" s="53" t="str">
        <f>IF(A111=0,"",INDEX(Список!M$6:M$85,A111))</f>
        <v>Полякова Е. В.</v>
      </c>
      <c r="D111" s="53" t="str">
        <f>IF(A111=0,"",INDEX(Список!N$6:N$85,A111))</f>
        <v>География</v>
      </c>
      <c r="E111" s="54">
        <f>VLOOKUP(D111,ШкалаТрудн!$C$5:$N$36,LEFT(F111,2)+1,0)</f>
        <v>6</v>
      </c>
      <c r="F111" s="27" t="s">
        <v>127</v>
      </c>
      <c r="G111" s="30">
        <v>27</v>
      </c>
      <c r="H111" s="143"/>
      <c r="I111" s="143">
        <v>15</v>
      </c>
      <c r="J111" s="143">
        <v>10</v>
      </c>
      <c r="K111" s="143">
        <v>2</v>
      </c>
      <c r="L111" s="143"/>
      <c r="M111" s="144"/>
      <c r="N111" s="29" t="b">
        <f t="shared" si="33"/>
        <v>1</v>
      </c>
      <c r="O111" s="31">
        <f t="shared" si="28"/>
        <v>3.4814814814814814</v>
      </c>
      <c r="P111" s="32">
        <f t="shared" si="29"/>
        <v>0.92592592592592593</v>
      </c>
      <c r="Q111" s="32">
        <f t="shared" si="30"/>
        <v>0.55555555555555558</v>
      </c>
      <c r="R111" s="32">
        <f t="shared" si="31"/>
        <v>0.50074074074074071</v>
      </c>
      <c r="S111" s="33">
        <f t="shared" si="32"/>
        <v>0.44444444444444442</v>
      </c>
      <c r="T111" s="90">
        <f t="shared" si="34"/>
        <v>9.0814814814814806</v>
      </c>
      <c r="U111" s="130">
        <f>IF($C111=0,"",INDEX(Список!I$6:I$85,MATCH($C111,Список_учителя,0)))</f>
        <v>31</v>
      </c>
      <c r="V111" s="145"/>
    </row>
    <row r="112" spans="1:22" ht="12" customHeight="1">
      <c r="A112" s="51">
        <v>21</v>
      </c>
      <c r="B112" s="54">
        <f>IF($A112=0,"",INDEX(Список!O$6:O$85,$A112))</f>
        <v>3</v>
      </c>
      <c r="C112" s="53" t="str">
        <f>IF(A112=0,"",INDEX(Список!M$6:M$85,A112))</f>
        <v>Каменская Н. В.</v>
      </c>
      <c r="D112" s="53" t="str">
        <f>IF(A112=0,"",INDEX(Список!N$6:N$85,A112))</f>
        <v>Алгебра</v>
      </c>
      <c r="E112" s="54">
        <f>VLOOKUP(D112,ШкалаТрудн!$C$5:$N$36,LEFT(F112,2)+1,0)</f>
        <v>9</v>
      </c>
      <c r="F112" s="27" t="s">
        <v>127</v>
      </c>
      <c r="G112" s="30">
        <v>14</v>
      </c>
      <c r="H112" s="143">
        <v>3</v>
      </c>
      <c r="I112" s="143">
        <v>4</v>
      </c>
      <c r="J112" s="143">
        <v>6</v>
      </c>
      <c r="K112" s="143">
        <v>1</v>
      </c>
      <c r="L112" s="143"/>
      <c r="M112" s="144"/>
      <c r="N112" s="29" t="b">
        <f t="shared" si="33"/>
        <v>1</v>
      </c>
      <c r="O112" s="31">
        <f t="shared" si="28"/>
        <v>3.6428571428571428</v>
      </c>
      <c r="P112" s="32">
        <f t="shared" si="29"/>
        <v>0.9285714285714286</v>
      </c>
      <c r="Q112" s="32">
        <f t="shared" si="30"/>
        <v>0.5</v>
      </c>
      <c r="R112" s="32">
        <f t="shared" si="31"/>
        <v>0.56285714285714294</v>
      </c>
      <c r="S112" s="33">
        <f t="shared" si="32"/>
        <v>0.44285714285714284</v>
      </c>
      <c r="T112" s="90">
        <f t="shared" si="34"/>
        <v>12.442857142857143</v>
      </c>
      <c r="U112" s="130">
        <f>IF($C112=0,"",INDEX(Список!I$6:I$85,MATCH($C112,Список_учителя,0)))</f>
        <v>10</v>
      </c>
      <c r="V112" s="145"/>
    </row>
    <row r="113" spans="1:22" ht="12" customHeight="1">
      <c r="A113" s="51">
        <v>52</v>
      </c>
      <c r="B113" s="54">
        <f>IF($A113=0,"",INDEX(Список!O$6:O$85,$A113))</f>
        <v>1</v>
      </c>
      <c r="C113" s="53" t="str">
        <f>IF(A113=0,"",INDEX(Список!M$6:M$85,A113))</f>
        <v>Полунина В. В.</v>
      </c>
      <c r="D113" s="53" t="str">
        <f>IF(A113=0,"",INDEX(Список!N$6:N$85,A113))</f>
        <v>Литература</v>
      </c>
      <c r="E113" s="54">
        <f>VLOOKUP(D113,ШкалаТрудн!$C$5:$N$36,LEFT(F113,2)+1,0)</f>
        <v>4</v>
      </c>
      <c r="F113" s="27" t="s">
        <v>127</v>
      </c>
      <c r="G113" s="30">
        <v>13</v>
      </c>
      <c r="H113" s="143">
        <v>4</v>
      </c>
      <c r="I113" s="143">
        <v>4</v>
      </c>
      <c r="J113" s="143">
        <v>5</v>
      </c>
      <c r="K113" s="143"/>
      <c r="L113" s="143"/>
      <c r="M113" s="144"/>
      <c r="N113" s="29" t="b">
        <f t="shared" si="33"/>
        <v>1</v>
      </c>
      <c r="O113" s="31">
        <f t="shared" si="28"/>
        <v>3.9230769230769229</v>
      </c>
      <c r="P113" s="32">
        <f t="shared" si="29"/>
        <v>1</v>
      </c>
      <c r="Q113" s="32">
        <f t="shared" si="30"/>
        <v>0.61538461538461542</v>
      </c>
      <c r="R113" s="32">
        <f t="shared" si="31"/>
        <v>0.64307692307692299</v>
      </c>
      <c r="S113" s="33">
        <f t="shared" si="32"/>
        <v>0.55384615384615388</v>
      </c>
      <c r="T113" s="90">
        <f t="shared" si="34"/>
        <v>7.9230769230769234</v>
      </c>
      <c r="U113" s="130">
        <f>IF($C113=0,"",INDEX(Список!I$6:I$85,MATCH($C113,Список_учителя,0)))</f>
        <v>30</v>
      </c>
      <c r="V113" s="145"/>
    </row>
    <row r="114" spans="1:22" ht="12" customHeight="1">
      <c r="A114" s="51">
        <v>2</v>
      </c>
      <c r="B114" s="54">
        <f>IF($A114=0,"",INDEX(Список!O$6:O$85,$A114))</f>
        <v>3</v>
      </c>
      <c r="C114" s="53" t="str">
        <f>IF(A114=0,"",INDEX(Список!M$6:M$85,A114))</f>
        <v>Адамян С. Ю.</v>
      </c>
      <c r="D114" s="53" t="str">
        <f>IF(A114=0,"",INDEX(Список!N$6:N$85,A114))</f>
        <v>Геометрия</v>
      </c>
      <c r="E114" s="54">
        <f>VLOOKUP(D114,ШкалаТрудн!$C$5:$N$36,LEFT(F114,2)+1,0)</f>
        <v>10</v>
      </c>
      <c r="F114" s="27" t="s">
        <v>127</v>
      </c>
      <c r="G114" s="30">
        <v>27</v>
      </c>
      <c r="H114" s="143">
        <v>2</v>
      </c>
      <c r="I114" s="143">
        <v>13</v>
      </c>
      <c r="J114" s="143">
        <v>12</v>
      </c>
      <c r="K114" s="143"/>
      <c r="L114" s="143"/>
      <c r="M114" s="144"/>
      <c r="N114" s="29" t="b">
        <f t="shared" si="33"/>
        <v>1</v>
      </c>
      <c r="O114" s="31">
        <f t="shared" si="28"/>
        <v>3.6296296296296298</v>
      </c>
      <c r="P114" s="32">
        <f t="shared" si="29"/>
        <v>1</v>
      </c>
      <c r="Q114" s="32">
        <f t="shared" si="30"/>
        <v>0.55555555555555558</v>
      </c>
      <c r="R114" s="32">
        <f t="shared" si="31"/>
        <v>0.54222222222222227</v>
      </c>
      <c r="S114" s="33">
        <f t="shared" si="32"/>
        <v>0.45925925925925926</v>
      </c>
      <c r="T114" s="90">
        <f t="shared" si="34"/>
        <v>13.62962962962963</v>
      </c>
      <c r="U114" s="130" t="e">
        <f>IF($C114=0,"",INDEX(Список!I$6:I$85,MATCH($C114,Список_учителя,0)))</f>
        <v>#N/A</v>
      </c>
      <c r="V114" s="145"/>
    </row>
    <row r="115" spans="1:22" ht="12" customHeight="1">
      <c r="A115" s="51">
        <v>40</v>
      </c>
      <c r="B115" s="54">
        <f>IF($A115=0,"",INDEX(Список!O$6:O$85,$A115))</f>
        <v>2</v>
      </c>
      <c r="C115" s="53" t="str">
        <f>IF(A115=0,"",INDEX(Список!M$6:M$85,A115))</f>
        <v>Маслова Е. В.</v>
      </c>
      <c r="D115" s="53" t="str">
        <f>IF(A115=0,"",INDEX(Список!N$6:N$85,A115))</f>
        <v>Английский язык</v>
      </c>
      <c r="E115" s="54">
        <f>VLOOKUP(D115,ШкалаТрудн!$C$5:$N$36,LEFT(F115,2)+1,0)</f>
        <v>8</v>
      </c>
      <c r="F115" s="27" t="s">
        <v>127</v>
      </c>
      <c r="G115" s="30">
        <v>27</v>
      </c>
      <c r="H115" s="143">
        <v>2</v>
      </c>
      <c r="I115" s="143">
        <v>16</v>
      </c>
      <c r="J115" s="143">
        <v>9</v>
      </c>
      <c r="K115" s="143"/>
      <c r="L115" s="143"/>
      <c r="M115" s="144"/>
      <c r="N115" s="29" t="b">
        <f t="shared" si="33"/>
        <v>1</v>
      </c>
      <c r="O115" s="31">
        <f t="shared" si="28"/>
        <v>3.7407407407407409</v>
      </c>
      <c r="P115" s="32">
        <f t="shared" si="29"/>
        <v>1</v>
      </c>
      <c r="Q115" s="32">
        <f t="shared" si="30"/>
        <v>0.66666666666666663</v>
      </c>
      <c r="R115" s="32">
        <f t="shared" si="31"/>
        <v>0.57333333333333336</v>
      </c>
      <c r="S115" s="33">
        <f t="shared" si="32"/>
        <v>0.54814814814814816</v>
      </c>
      <c r="T115" s="90">
        <f t="shared" si="34"/>
        <v>11.74074074074074</v>
      </c>
      <c r="U115" s="130">
        <f>IF($C115=0,"",INDEX(Список!I$6:I$85,MATCH($C115,Список_учителя,0)))</f>
        <v>21</v>
      </c>
      <c r="V115" s="145"/>
    </row>
    <row r="116" spans="1:22" ht="12" customHeight="1">
      <c r="A116" s="51">
        <v>59</v>
      </c>
      <c r="B116" s="54">
        <f>IF($A116=0,"",INDEX(Список!O$6:O$85,$A116))</f>
        <v>6</v>
      </c>
      <c r="C116" s="53" t="str">
        <f>IF(A116=0,"",INDEX(Список!M$6:M$85,A116))</f>
        <v>Руденко Н.Ю.</v>
      </c>
      <c r="D116" s="53" t="str">
        <f>IF(A116=0,"",INDEX(Список!N$6:N$85,A116))</f>
        <v>Музыка</v>
      </c>
      <c r="E116" s="54">
        <f>VLOOKUP(D116,ШкалаТрудн!$C$5:$N$36,LEFT(F116,2)+1,0)</f>
        <v>1</v>
      </c>
      <c r="F116" s="27" t="s">
        <v>127</v>
      </c>
      <c r="G116" s="30">
        <v>27</v>
      </c>
      <c r="H116" s="143">
        <v>4</v>
      </c>
      <c r="I116" s="143">
        <v>13</v>
      </c>
      <c r="J116" s="143">
        <v>9</v>
      </c>
      <c r="K116" s="143">
        <v>1</v>
      </c>
      <c r="L116" s="143"/>
      <c r="M116" s="144"/>
      <c r="N116" s="29" t="b">
        <f t="shared" si="33"/>
        <v>1</v>
      </c>
      <c r="O116" s="31">
        <f t="shared" si="28"/>
        <v>3.7407407407407409</v>
      </c>
      <c r="P116" s="32">
        <f t="shared" si="29"/>
        <v>0.96296296296296291</v>
      </c>
      <c r="Q116" s="32">
        <f t="shared" si="30"/>
        <v>0.62962962962962965</v>
      </c>
      <c r="R116" s="32">
        <f t="shared" si="31"/>
        <v>0.5822222222222222</v>
      </c>
      <c r="S116" s="33">
        <f t="shared" si="32"/>
        <v>0.53333333333333333</v>
      </c>
      <c r="T116" s="90">
        <f t="shared" si="34"/>
        <v>4.5407407407407403</v>
      </c>
      <c r="U116" s="130">
        <f>IF($C116=0,"",INDEX(Список!I$6:I$85,MATCH($C116,Список_учителя,0)))</f>
        <v>34</v>
      </c>
      <c r="V116" s="145"/>
    </row>
    <row r="117" spans="1:22" ht="12" customHeight="1">
      <c r="A117" s="51">
        <v>26</v>
      </c>
      <c r="B117" s="54">
        <f>IF($A117=0,"",INDEX(Список!O$6:O$85,$A117))</f>
        <v>1</v>
      </c>
      <c r="C117" s="53" t="str">
        <f>IF(A117=0,"",INDEX(Список!M$6:M$85,A117))</f>
        <v>Клочко А.М.</v>
      </c>
      <c r="D117" s="53" t="str">
        <f>IF(A117=0,"",INDEX(Список!N$6:N$85,A117))</f>
        <v>Русский язык</v>
      </c>
      <c r="E117" s="54">
        <f>VLOOKUP(D117,ШкалаТрудн!$C$5:$N$36,LEFT(F117,2)+1,0)</f>
        <v>7</v>
      </c>
      <c r="F117" s="27" t="s">
        <v>127</v>
      </c>
      <c r="G117" s="30">
        <v>14</v>
      </c>
      <c r="H117" s="143">
        <v>4</v>
      </c>
      <c r="I117" s="143">
        <v>3</v>
      </c>
      <c r="J117" s="143">
        <v>7</v>
      </c>
      <c r="K117" s="143"/>
      <c r="L117" s="143"/>
      <c r="M117" s="144"/>
      <c r="N117" s="29" t="b">
        <f t="shared" si="33"/>
        <v>1</v>
      </c>
      <c r="O117" s="31">
        <f t="shared" si="28"/>
        <v>3.7857142857142856</v>
      </c>
      <c r="P117" s="32">
        <f t="shared" si="29"/>
        <v>1</v>
      </c>
      <c r="Q117" s="32">
        <f t="shared" si="30"/>
        <v>0.5</v>
      </c>
      <c r="R117" s="32">
        <f t="shared" si="31"/>
        <v>0.60285714285714287</v>
      </c>
      <c r="S117" s="33">
        <f t="shared" si="32"/>
        <v>0.45714285714285713</v>
      </c>
      <c r="T117" s="90">
        <f t="shared" si="34"/>
        <v>10.785714285714285</v>
      </c>
      <c r="U117" s="130" t="e">
        <f>IF($C117=0,"",INDEX(Список!I$6:I$85,MATCH($C117,Список_учителя,0)))</f>
        <v>#N/A</v>
      </c>
      <c r="V117" s="145"/>
    </row>
    <row r="118" spans="1:22" ht="12" customHeight="1">
      <c r="A118" s="51">
        <v>58</v>
      </c>
      <c r="B118" s="54">
        <f>IF($A118=0,"",INDEX(Список!O$6:O$85,$A118))</f>
        <v>2</v>
      </c>
      <c r="C118" s="53" t="str">
        <f>IF(A118=0,"",INDEX(Список!M$6:M$85,A118))</f>
        <v>Простова Н. А.</v>
      </c>
      <c r="D118" s="53" t="str">
        <f>IF(A118=0,"",INDEX(Список!N$6:N$85,A118))</f>
        <v>Английский язык</v>
      </c>
      <c r="E118" s="54">
        <f>VLOOKUP(D118,ШкалаТрудн!$C$5:$N$36,LEFT(F118,2)+1,0)</f>
        <v>8</v>
      </c>
      <c r="F118" s="27" t="s">
        <v>128</v>
      </c>
      <c r="G118" s="30">
        <v>22</v>
      </c>
      <c r="H118" s="143"/>
      <c r="I118" s="143">
        <v>7</v>
      </c>
      <c r="J118" s="143">
        <v>15</v>
      </c>
      <c r="K118" s="143"/>
      <c r="L118" s="143"/>
      <c r="M118" s="144"/>
      <c r="N118" s="29" t="b">
        <f t="shared" si="33"/>
        <v>1</v>
      </c>
      <c r="O118" s="31">
        <f t="shared" si="28"/>
        <v>3.3181818181818183</v>
      </c>
      <c r="P118" s="32">
        <f t="shared" si="29"/>
        <v>1</v>
      </c>
      <c r="Q118" s="32">
        <f t="shared" si="30"/>
        <v>0.31818181818181818</v>
      </c>
      <c r="R118" s="32">
        <f t="shared" si="31"/>
        <v>0.44909090909090904</v>
      </c>
      <c r="S118" s="33">
        <f t="shared" si="32"/>
        <v>0.25454545454545452</v>
      </c>
      <c r="T118" s="90">
        <f t="shared" si="34"/>
        <v>11.318181818181818</v>
      </c>
      <c r="U118" s="130">
        <f>IF($C118=0,"",INDEX(Список!I$6:I$85,MATCH($C118,Список_учителя,0)))</f>
        <v>33</v>
      </c>
      <c r="V118" s="145"/>
    </row>
    <row r="119" spans="1:22" ht="12" customHeight="1">
      <c r="A119" s="51">
        <v>57</v>
      </c>
      <c r="B119" s="54">
        <f>IF($A119=0,"",INDEX(Список!O$6:O$85,$A119))</f>
        <v>3</v>
      </c>
      <c r="C119" s="53" t="str">
        <f>IF(A119=0,"",INDEX(Список!M$6:M$85,A119))</f>
        <v>Попова Т. А.</v>
      </c>
      <c r="D119" s="53" t="str">
        <f>IF(A119=0,"",INDEX(Список!N$6:N$85,A119))</f>
        <v>Математика</v>
      </c>
      <c r="E119" s="54">
        <f>VLOOKUP(D119,ШкалаТрудн!$C$5:$N$36,LEFT(F119,2)+1,0)</f>
        <v>0</v>
      </c>
      <c r="F119" s="27" t="s">
        <v>128</v>
      </c>
      <c r="G119" s="30">
        <v>22</v>
      </c>
      <c r="H119" s="143">
        <v>3</v>
      </c>
      <c r="I119" s="143">
        <v>7</v>
      </c>
      <c r="J119" s="143">
        <v>12</v>
      </c>
      <c r="K119" s="143"/>
      <c r="L119" s="143"/>
      <c r="M119" s="144"/>
      <c r="N119" s="29" t="b">
        <f t="shared" si="33"/>
        <v>1</v>
      </c>
      <c r="O119" s="31">
        <f t="shared" si="28"/>
        <v>3.5909090909090908</v>
      </c>
      <c r="P119" s="32">
        <f t="shared" si="29"/>
        <v>1</v>
      </c>
      <c r="Q119" s="32">
        <f t="shared" si="30"/>
        <v>0.45454545454545453</v>
      </c>
      <c r="R119" s="32">
        <f t="shared" si="31"/>
        <v>0.53636363636363638</v>
      </c>
      <c r="S119" s="33">
        <f t="shared" si="32"/>
        <v>0.39090909090909093</v>
      </c>
      <c r="T119" s="90">
        <f t="shared" si="34"/>
        <v>3.5909090909090908</v>
      </c>
      <c r="U119" s="130">
        <f>IF($C119=0,"",INDEX(Список!I$6:I$85,MATCH($C119,Список_учителя,0)))</f>
        <v>32</v>
      </c>
      <c r="V119" s="145"/>
    </row>
    <row r="120" spans="1:22" ht="12" customHeight="1">
      <c r="A120" s="51">
        <v>5</v>
      </c>
      <c r="B120" s="54">
        <f>IF($A120=0,"",INDEX(Список!O$6:O$85,$A120))</f>
        <v>5</v>
      </c>
      <c r="C120" s="53" t="str">
        <f>IF(A120=0,"",INDEX(Список!M$6:M$85,A120))</f>
        <v>Белякова Ю. В.</v>
      </c>
      <c r="D120" s="53" t="str">
        <f>IF(A120=0,"",INDEX(Список!N$6:N$85,A120))</f>
        <v>Биология</v>
      </c>
      <c r="E120" s="54">
        <f>VLOOKUP(D120,ШкалаТрудн!$C$5:$N$36,LEFT(F120,2)+1,0)</f>
        <v>7</v>
      </c>
      <c r="F120" s="27" t="s">
        <v>128</v>
      </c>
      <c r="G120" s="30">
        <v>12</v>
      </c>
      <c r="H120" s="143">
        <v>2</v>
      </c>
      <c r="I120" s="143">
        <v>6</v>
      </c>
      <c r="J120" s="143">
        <v>4</v>
      </c>
      <c r="K120" s="143"/>
      <c r="L120" s="143"/>
      <c r="M120" s="144"/>
      <c r="N120" s="29" t="b">
        <f t="shared" si="33"/>
        <v>1</v>
      </c>
      <c r="O120" s="31">
        <f t="shared" si="28"/>
        <v>3.8333333333333335</v>
      </c>
      <c r="P120" s="32">
        <f t="shared" si="29"/>
        <v>1</v>
      </c>
      <c r="Q120" s="32">
        <f t="shared" si="30"/>
        <v>0.66666666666666663</v>
      </c>
      <c r="R120" s="32">
        <f t="shared" si="31"/>
        <v>0.60666666666666658</v>
      </c>
      <c r="S120" s="33">
        <f t="shared" si="32"/>
        <v>0.56666666666666665</v>
      </c>
      <c r="T120" s="90">
        <f t="shared" si="34"/>
        <v>10.833333333333334</v>
      </c>
      <c r="U120" s="130">
        <f>IF($C120=0,"",INDEX(Список!I$6:I$85,MATCH($C120,Список_учителя,0)))</f>
        <v>3</v>
      </c>
      <c r="V120" s="145"/>
    </row>
    <row r="121" spans="1:22" ht="12" customHeight="1">
      <c r="A121" s="51">
        <v>59</v>
      </c>
      <c r="B121" s="54">
        <f>IF($A121=0,"",INDEX(Список!O$6:O$85,$A121))</f>
        <v>6</v>
      </c>
      <c r="C121" s="53" t="str">
        <f>IF(A121=0,"",INDEX(Список!M$6:M$85,A121))</f>
        <v>Руденко Н.Ю.</v>
      </c>
      <c r="D121" s="53" t="str">
        <f>IF(A121=0,"",INDEX(Список!N$6:N$85,A121))</f>
        <v>Музыка</v>
      </c>
      <c r="E121" s="54">
        <f>VLOOKUP(D121,ШкалаТрудн!$C$5:$N$36,LEFT(F121,2)+1,0)</f>
        <v>1</v>
      </c>
      <c r="F121" s="27" t="s">
        <v>128</v>
      </c>
      <c r="G121" s="30">
        <v>22</v>
      </c>
      <c r="H121" s="143">
        <v>3</v>
      </c>
      <c r="I121" s="143">
        <v>12</v>
      </c>
      <c r="J121" s="143">
        <v>7</v>
      </c>
      <c r="K121" s="143"/>
      <c r="L121" s="143"/>
      <c r="M121" s="144"/>
      <c r="N121" s="29" t="b">
        <f t="shared" si="33"/>
        <v>1</v>
      </c>
      <c r="O121" s="31">
        <f t="shared" si="28"/>
        <v>3.8181818181818183</v>
      </c>
      <c r="P121" s="32">
        <f t="shared" si="29"/>
        <v>1</v>
      </c>
      <c r="Q121" s="32">
        <f t="shared" si="30"/>
        <v>0.68181818181818177</v>
      </c>
      <c r="R121" s="32">
        <f t="shared" si="31"/>
        <v>0.6</v>
      </c>
      <c r="S121" s="33">
        <f t="shared" si="32"/>
        <v>0.57272727272727275</v>
      </c>
      <c r="T121" s="90">
        <f t="shared" si="34"/>
        <v>4.8181818181818183</v>
      </c>
      <c r="U121" s="130">
        <f>IF($C121=0,"",INDEX(Список!I$6:I$85,MATCH($C121,Список_учителя,0)))</f>
        <v>34</v>
      </c>
      <c r="V121" s="145"/>
    </row>
    <row r="122" spans="1:22" ht="12" customHeight="1">
      <c r="A122" s="51">
        <v>26</v>
      </c>
      <c r="B122" s="54">
        <f>IF($A122=0,"",INDEX(Список!O$6:O$85,$A122))</f>
        <v>1</v>
      </c>
      <c r="C122" s="53" t="str">
        <f>IF(A122=0,"",INDEX(Список!M$6:M$85,A122))</f>
        <v>Клочко А.М.</v>
      </c>
      <c r="D122" s="53" t="str">
        <f>IF(A122=0,"",INDEX(Список!N$6:N$85,A122))</f>
        <v>Русский язык</v>
      </c>
      <c r="E122" s="54">
        <f>VLOOKUP(D122,ШкалаТрудн!$C$5:$N$36,LEFT(F122,2)+1,0)</f>
        <v>7</v>
      </c>
      <c r="F122" s="27" t="s">
        <v>128</v>
      </c>
      <c r="G122" s="30">
        <v>12</v>
      </c>
      <c r="H122" s="143">
        <v>2</v>
      </c>
      <c r="I122" s="143">
        <v>2</v>
      </c>
      <c r="J122" s="143">
        <v>8</v>
      </c>
      <c r="K122" s="143"/>
      <c r="L122" s="143"/>
      <c r="M122" s="144"/>
      <c r="N122" s="29" t="b">
        <f t="shared" si="33"/>
        <v>1</v>
      </c>
      <c r="O122" s="31">
        <f t="shared" si="28"/>
        <v>3.5</v>
      </c>
      <c r="P122" s="32">
        <f t="shared" si="29"/>
        <v>1</v>
      </c>
      <c r="Q122" s="32">
        <f t="shared" si="30"/>
        <v>0.33333333333333331</v>
      </c>
      <c r="R122" s="32">
        <f t="shared" si="31"/>
        <v>0.51333333333333331</v>
      </c>
      <c r="S122" s="33">
        <f t="shared" si="32"/>
        <v>0.3</v>
      </c>
      <c r="T122" s="90">
        <f t="shared" si="34"/>
        <v>10.5</v>
      </c>
      <c r="U122" s="130" t="e">
        <f>IF($C122=0,"",INDEX(Список!I$6:I$85,MATCH($C122,Список_учителя,0)))</f>
        <v>#N/A</v>
      </c>
      <c r="V122" s="145"/>
    </row>
    <row r="123" spans="1:22" ht="12" customHeight="1">
      <c r="A123" s="51">
        <v>30</v>
      </c>
      <c r="B123" s="54">
        <f>IF($A123=0,"",INDEX(Список!O$6:O$85,$A123))</f>
        <v>2</v>
      </c>
      <c r="C123" s="53" t="str">
        <f>IF(A123=0,"",INDEX(Список!M$6:M$85,A123))</f>
        <v>Кравченко Л. И.</v>
      </c>
      <c r="D123" s="53" t="str">
        <f>IF(A123=0,"",INDEX(Список!N$6:N$85,A123))</f>
        <v>Английский язык</v>
      </c>
      <c r="E123" s="54">
        <f>VLOOKUP(D123,ШкалаТрудн!$C$5:$N$36,LEFT(F123,2)+1,0)</f>
        <v>8</v>
      </c>
      <c r="F123" s="27" t="s">
        <v>129</v>
      </c>
      <c r="G123" s="30">
        <v>28</v>
      </c>
      <c r="H123" s="143">
        <v>3</v>
      </c>
      <c r="I123" s="143">
        <v>11</v>
      </c>
      <c r="J123" s="143">
        <v>14</v>
      </c>
      <c r="K123" s="143"/>
      <c r="L123" s="143"/>
      <c r="M123" s="144"/>
      <c r="N123" s="29" t="b">
        <f t="shared" si="33"/>
        <v>1</v>
      </c>
      <c r="O123" s="31">
        <f t="shared" si="28"/>
        <v>3.6071428571428572</v>
      </c>
      <c r="P123" s="32">
        <f t="shared" si="29"/>
        <v>1</v>
      </c>
      <c r="Q123" s="32">
        <f t="shared" si="30"/>
        <v>0.5</v>
      </c>
      <c r="R123" s="32">
        <f t="shared" si="31"/>
        <v>0.53857142857142848</v>
      </c>
      <c r="S123" s="33">
        <f t="shared" si="32"/>
        <v>0.42142857142857143</v>
      </c>
      <c r="T123" s="90">
        <f t="shared" si="34"/>
        <v>11.607142857142858</v>
      </c>
      <c r="U123" s="130">
        <f>IF($C123=0,"",INDEX(Список!I$6:I$85,MATCH($C123,Список_учителя,0)))</f>
        <v>15</v>
      </c>
      <c r="V123" s="145"/>
    </row>
    <row r="124" spans="1:22" ht="12" customHeight="1">
      <c r="A124" s="51">
        <v>28</v>
      </c>
      <c r="B124" s="54">
        <f>IF($A124=0,"",INDEX(Список!O$6:O$85,$A124))</f>
        <v>1</v>
      </c>
      <c r="C124" s="53" t="str">
        <f>IF(A124=0,"",INDEX(Список!M$6:M$85,A124))</f>
        <v>Кожанова О. В.</v>
      </c>
      <c r="D124" s="53" t="str">
        <f>IF(A124=0,"",INDEX(Список!N$6:N$85,A124))</f>
        <v>Русский язык</v>
      </c>
      <c r="E124" s="54">
        <f>VLOOKUP(D124,ШкалаТрудн!$C$5:$N$36,LEFT(F124,2)+1,0)</f>
        <v>7</v>
      </c>
      <c r="F124" s="27" t="s">
        <v>129</v>
      </c>
      <c r="G124" s="30">
        <v>28</v>
      </c>
      <c r="H124" s="143">
        <v>10</v>
      </c>
      <c r="I124" s="143">
        <v>11</v>
      </c>
      <c r="J124" s="143">
        <v>7</v>
      </c>
      <c r="K124" s="143"/>
      <c r="L124" s="143"/>
      <c r="M124" s="144"/>
      <c r="N124" s="29" t="b">
        <f t="shared" si="33"/>
        <v>1</v>
      </c>
      <c r="O124" s="31">
        <f t="shared" si="28"/>
        <v>4.1071428571428568</v>
      </c>
      <c r="P124" s="32">
        <f t="shared" si="29"/>
        <v>1</v>
      </c>
      <c r="Q124" s="32">
        <f t="shared" si="30"/>
        <v>0.75</v>
      </c>
      <c r="R124" s="32">
        <f t="shared" si="31"/>
        <v>0.69857142857142851</v>
      </c>
      <c r="S124" s="33">
        <f t="shared" si="32"/>
        <v>0.67142857142857137</v>
      </c>
      <c r="T124" s="90">
        <f t="shared" si="34"/>
        <v>11.107142857142858</v>
      </c>
      <c r="U124" s="130">
        <f>IF($C124=0,"",INDEX(Список!I$6:I$85,MATCH($C124,Список_учителя,0)))</f>
        <v>13</v>
      </c>
      <c r="V124" s="145"/>
    </row>
    <row r="125" spans="1:22" ht="12" customHeight="1">
      <c r="A125" s="51">
        <v>66</v>
      </c>
      <c r="B125" s="54">
        <f>IF($A125=0,"",INDEX(Список!O$6:O$85,$A125))</f>
        <v>1</v>
      </c>
      <c r="C125" s="53" t="str">
        <f>IF(A125=0,"",INDEX(Список!M$6:M$85,A125))</f>
        <v>Скокова Е. В.</v>
      </c>
      <c r="D125" s="53" t="str">
        <f>IF(A125=0,"",INDEX(Список!N$6:N$85,A125))</f>
        <v>Русский язык</v>
      </c>
      <c r="E125" s="54">
        <f>VLOOKUP(D125,ШкалаТрудн!$C$5:$N$36,LEFT(F125,2)+1,0)</f>
        <v>7</v>
      </c>
      <c r="F125" s="27" t="s">
        <v>129</v>
      </c>
      <c r="G125" s="30">
        <v>28</v>
      </c>
      <c r="H125" s="143"/>
      <c r="I125" s="143">
        <v>13</v>
      </c>
      <c r="J125" s="143">
        <v>15</v>
      </c>
      <c r="K125" s="143"/>
      <c r="L125" s="143"/>
      <c r="M125" s="144"/>
      <c r="N125" s="29" t="b">
        <f t="shared" si="33"/>
        <v>1</v>
      </c>
      <c r="O125" s="31">
        <f t="shared" si="28"/>
        <v>3.4642857142857144</v>
      </c>
      <c r="P125" s="32">
        <f t="shared" si="29"/>
        <v>1</v>
      </c>
      <c r="Q125" s="32">
        <f t="shared" si="30"/>
        <v>0.4642857142857143</v>
      </c>
      <c r="R125" s="32">
        <f t="shared" si="31"/>
        <v>0.48999999999999994</v>
      </c>
      <c r="S125" s="33">
        <f t="shared" si="32"/>
        <v>0.37142857142857144</v>
      </c>
      <c r="T125" s="90">
        <f t="shared" si="34"/>
        <v>10.464285714285715</v>
      </c>
      <c r="U125" s="130">
        <f>IF($C125=0,"",INDEX(Список!I$6:I$85,MATCH($C125,Список_учителя,0)))</f>
        <v>37</v>
      </c>
      <c r="V125" s="145"/>
    </row>
    <row r="126" spans="1:22" ht="12" customHeight="1">
      <c r="A126" s="51">
        <v>67</v>
      </c>
      <c r="B126" s="54">
        <f>IF($A126=0,"",INDEX(Список!O$6:O$85,$A126))</f>
        <v>9</v>
      </c>
      <c r="C126" s="53" t="str">
        <f>IF(A126=0,"",INDEX(Список!M$6:M$85,A126))</f>
        <v>Сорокина М. В.</v>
      </c>
      <c r="D126" s="53" t="str">
        <f>IF(A126=0,"",INDEX(Список!N$6:N$85,A126))</f>
        <v>Литература НШ</v>
      </c>
      <c r="E126" s="54">
        <f>VLOOKUP(D126,ШкалаТрудн!$C$5:$N$36,LEFT(F126,2)+1,0)</f>
        <v>0</v>
      </c>
      <c r="F126" s="27" t="s">
        <v>129</v>
      </c>
      <c r="G126" s="30">
        <v>28</v>
      </c>
      <c r="H126" s="143"/>
      <c r="I126" s="143">
        <v>15</v>
      </c>
      <c r="J126" s="143">
        <v>13</v>
      </c>
      <c r="K126" s="143"/>
      <c r="L126" s="143"/>
      <c r="M126" s="144"/>
      <c r="N126" s="29" t="b">
        <f t="shared" si="33"/>
        <v>1</v>
      </c>
      <c r="O126" s="31">
        <f t="shared" si="28"/>
        <v>3.5357142857142856</v>
      </c>
      <c r="P126" s="32">
        <f t="shared" si="29"/>
        <v>1</v>
      </c>
      <c r="Q126" s="32">
        <f t="shared" si="30"/>
        <v>0.5357142857142857</v>
      </c>
      <c r="R126" s="32">
        <f t="shared" si="31"/>
        <v>0.51</v>
      </c>
      <c r="S126" s="33">
        <f t="shared" si="32"/>
        <v>0.42857142857142855</v>
      </c>
      <c r="T126" s="90">
        <f t="shared" si="34"/>
        <v>3.5357142857142856</v>
      </c>
      <c r="U126" s="130">
        <f>IF($C126=0,"",INDEX(Список!I$6:I$85,MATCH($C126,Список_учителя,0)))</f>
        <v>38</v>
      </c>
      <c r="V126" s="145"/>
    </row>
    <row r="127" spans="1:22" ht="12" customHeight="1">
      <c r="A127" s="51">
        <v>59</v>
      </c>
      <c r="B127" s="54">
        <f>IF($A127=0,"",INDEX(Список!O$6:O$85,$A127))</f>
        <v>6</v>
      </c>
      <c r="C127" s="53" t="str">
        <f>IF(A127=0,"",INDEX(Список!M$6:M$85,A127))</f>
        <v>Руденко Н.Ю.</v>
      </c>
      <c r="D127" s="53" t="str">
        <f>IF(A127=0,"",INDEX(Список!N$6:N$85,A127))</f>
        <v>Музыка</v>
      </c>
      <c r="E127" s="54">
        <f>VLOOKUP(D127,ШкалаТрудн!$C$5:$N$36,LEFT(F127,2)+1,0)</f>
        <v>1</v>
      </c>
      <c r="F127" s="27" t="s">
        <v>129</v>
      </c>
      <c r="G127" s="30">
        <v>28</v>
      </c>
      <c r="H127" s="143">
        <v>4</v>
      </c>
      <c r="I127" s="143">
        <v>8</v>
      </c>
      <c r="J127" s="143">
        <v>16</v>
      </c>
      <c r="K127" s="143"/>
      <c r="L127" s="143"/>
      <c r="M127" s="144"/>
      <c r="N127" s="29" t="b">
        <f t="shared" si="33"/>
        <v>1</v>
      </c>
      <c r="O127" s="31">
        <f t="shared" si="28"/>
        <v>3.5714285714285716</v>
      </c>
      <c r="P127" s="32">
        <f t="shared" si="29"/>
        <v>1</v>
      </c>
      <c r="Q127" s="32">
        <f t="shared" si="30"/>
        <v>0.42857142857142855</v>
      </c>
      <c r="R127" s="32">
        <f t="shared" si="31"/>
        <v>0.53142857142857147</v>
      </c>
      <c r="S127" s="33">
        <f t="shared" si="32"/>
        <v>0.37142857142857144</v>
      </c>
      <c r="T127" s="90">
        <f t="shared" si="34"/>
        <v>4.5714285714285712</v>
      </c>
      <c r="U127" s="130">
        <f>IF($C127=0,"",INDEX(Список!I$6:I$85,MATCH($C127,Список_учителя,0)))</f>
        <v>34</v>
      </c>
      <c r="V127" s="145"/>
    </row>
    <row r="128" spans="1:22" ht="12" customHeight="1">
      <c r="A128" s="51">
        <v>26</v>
      </c>
      <c r="B128" s="54">
        <f>IF($A128=0,"",INDEX(Список!O$6:O$85,$A128))</f>
        <v>1</v>
      </c>
      <c r="C128" s="53" t="str">
        <f>IF(A128=0,"",INDEX(Список!M$6:M$85,A128))</f>
        <v>Клочко А.М.</v>
      </c>
      <c r="D128" s="53" t="str">
        <f>IF(A128=0,"",INDEX(Список!N$6:N$85,A128))</f>
        <v>Русский язык</v>
      </c>
      <c r="E128" s="54">
        <f>VLOOKUP(D128,ШкалаТрудн!$C$5:$N$36,LEFT(F128,2)+1,0)</f>
        <v>7</v>
      </c>
      <c r="F128" s="27" t="s">
        <v>129</v>
      </c>
      <c r="G128" s="30">
        <v>16</v>
      </c>
      <c r="H128" s="143">
        <v>3</v>
      </c>
      <c r="I128" s="143">
        <v>8</v>
      </c>
      <c r="J128" s="143">
        <v>5</v>
      </c>
      <c r="K128" s="143"/>
      <c r="L128" s="143"/>
      <c r="M128" s="144"/>
      <c r="N128" s="29" t="b">
        <f t="shared" si="33"/>
        <v>1</v>
      </c>
      <c r="O128" s="31">
        <f t="shared" si="28"/>
        <v>3.875</v>
      </c>
      <c r="P128" s="32">
        <f t="shared" si="29"/>
        <v>1</v>
      </c>
      <c r="Q128" s="32">
        <f t="shared" si="30"/>
        <v>0.6875</v>
      </c>
      <c r="R128" s="32">
        <f t="shared" si="31"/>
        <v>0.62000000000000011</v>
      </c>
      <c r="S128" s="33">
        <f t="shared" si="32"/>
        <v>0.58750000000000002</v>
      </c>
      <c r="T128" s="90">
        <f t="shared" si="34"/>
        <v>10.875</v>
      </c>
      <c r="U128" s="130" t="e">
        <f>IF($C128=0,"",INDEX(Список!I$6:I$85,MATCH($C128,Список_учителя,0)))</f>
        <v>#N/A</v>
      </c>
      <c r="V128" s="145"/>
    </row>
    <row r="129" spans="1:22" ht="12" customHeight="1">
      <c r="A129" s="51">
        <v>78</v>
      </c>
      <c r="B129" s="54">
        <f>IF($A129=0,"",INDEX(Список!O$6:O$85,$A129))</f>
        <v>4</v>
      </c>
      <c r="C129" s="53" t="str">
        <f>IF(A129=0,"",INDEX(Список!M$6:M$85,A129))</f>
        <v>Ящук Е. Ю.</v>
      </c>
      <c r="D129" s="53" t="str">
        <f>IF(A129=0,"",INDEX(Список!N$6:N$85,A129))</f>
        <v>История</v>
      </c>
      <c r="E129" s="54">
        <f>VLOOKUP(D129,ШкалаТрудн!$C$5:$N$36,LEFT(F129,2)+1,0)</f>
        <v>8</v>
      </c>
      <c r="F129" s="27" t="s">
        <v>130</v>
      </c>
      <c r="G129" s="30">
        <v>30</v>
      </c>
      <c r="H129" s="143">
        <v>2</v>
      </c>
      <c r="I129" s="143">
        <v>16</v>
      </c>
      <c r="J129" s="143">
        <v>11</v>
      </c>
      <c r="K129" s="143"/>
      <c r="L129" s="143">
        <v>1</v>
      </c>
      <c r="M129" s="144"/>
      <c r="N129" s="29" t="b">
        <f t="shared" si="33"/>
        <v>1</v>
      </c>
      <c r="O129" s="31">
        <f t="shared" si="28"/>
        <v>3.5666666666666669</v>
      </c>
      <c r="P129" s="32">
        <f t="shared" si="29"/>
        <v>0.96666666666666667</v>
      </c>
      <c r="Q129" s="32">
        <f t="shared" si="30"/>
        <v>0.6</v>
      </c>
      <c r="R129" s="32">
        <f t="shared" si="31"/>
        <v>0.53999999999999992</v>
      </c>
      <c r="S129" s="33">
        <f t="shared" si="32"/>
        <v>0.49333333333333335</v>
      </c>
      <c r="T129" s="90">
        <f t="shared" si="34"/>
        <v>11.366666666666667</v>
      </c>
      <c r="U129" s="130">
        <f>IF($C129=0,"",INDEX(Список!I$6:I$85,MATCH($C129,Список_учителя,0)))</f>
        <v>43</v>
      </c>
      <c r="V129" s="145"/>
    </row>
    <row r="130" spans="1:22" ht="12" customHeight="1">
      <c r="A130" s="51">
        <v>77</v>
      </c>
      <c r="B130" s="54">
        <f>IF($A130=0,"",INDEX(Список!O$6:O$85,$A130))</f>
        <v>9</v>
      </c>
      <c r="C130" s="53" t="str">
        <f>IF(A130=0,"",INDEX(Список!M$6:M$85,A130))</f>
        <v>Юркова М. Ю.</v>
      </c>
      <c r="D130" s="53" t="str">
        <f>IF(A130=0,"",INDEX(Список!N$6:N$85,A130))</f>
        <v>Русский язык НШ</v>
      </c>
      <c r="E130" s="54">
        <f>VLOOKUP(D130,ШкалаТрудн!$C$5:$N$36,LEFT(F130,2)+1,0)</f>
        <v>0</v>
      </c>
      <c r="F130" s="27" t="s">
        <v>130</v>
      </c>
      <c r="G130" s="30">
        <v>30</v>
      </c>
      <c r="H130" s="143">
        <v>10</v>
      </c>
      <c r="I130" s="143">
        <v>14</v>
      </c>
      <c r="J130" s="143">
        <v>5</v>
      </c>
      <c r="K130" s="143"/>
      <c r="L130" s="143">
        <v>1</v>
      </c>
      <c r="M130" s="144"/>
      <c r="N130" s="29" t="b">
        <f t="shared" si="33"/>
        <v>1</v>
      </c>
      <c r="O130" s="31">
        <f t="shared" si="28"/>
        <v>4.0333333333333332</v>
      </c>
      <c r="P130" s="32">
        <f t="shared" si="29"/>
        <v>0.96666666666666667</v>
      </c>
      <c r="Q130" s="32">
        <f t="shared" si="30"/>
        <v>0.8</v>
      </c>
      <c r="R130" s="32">
        <f t="shared" si="31"/>
        <v>0.69200000000000006</v>
      </c>
      <c r="S130" s="33">
        <f t="shared" si="32"/>
        <v>0.70666666666666667</v>
      </c>
      <c r="T130" s="90">
        <f t="shared" si="34"/>
        <v>3.833333333333333</v>
      </c>
      <c r="U130" s="130">
        <f>IF($C130=0,"",INDEX(Список!I$6:I$85,MATCH($C130,Список_учителя,0)))</f>
        <v>42</v>
      </c>
      <c r="V130" s="145"/>
    </row>
    <row r="131" spans="1:22" ht="12" customHeight="1">
      <c r="A131" s="51">
        <v>5</v>
      </c>
      <c r="B131" s="54">
        <f>IF($A131=0,"",INDEX(Список!O$6:O$85,$A131))</f>
        <v>5</v>
      </c>
      <c r="C131" s="53" t="str">
        <f>IF(A131=0,"",INDEX(Список!M$6:M$85,A131))</f>
        <v>Белякова Ю. В.</v>
      </c>
      <c r="D131" s="53" t="str">
        <f>IF(A131=0,"",INDEX(Список!N$6:N$85,A131))</f>
        <v>Биология</v>
      </c>
      <c r="E131" s="54">
        <f>VLOOKUP(D131,ШкалаТрудн!$C$5:$N$36,LEFT(F131,2)+1,0)</f>
        <v>7</v>
      </c>
      <c r="F131" s="27" t="s">
        <v>130</v>
      </c>
      <c r="G131" s="30">
        <v>15</v>
      </c>
      <c r="H131" s="143">
        <v>2</v>
      </c>
      <c r="I131" s="143">
        <v>8</v>
      </c>
      <c r="J131" s="143">
        <v>4</v>
      </c>
      <c r="K131" s="143"/>
      <c r="L131" s="143">
        <v>1</v>
      </c>
      <c r="M131" s="144"/>
      <c r="N131" s="29" t="b">
        <f t="shared" si="33"/>
        <v>1</v>
      </c>
      <c r="O131" s="31">
        <f t="shared" si="28"/>
        <v>3.6</v>
      </c>
      <c r="P131" s="32">
        <f t="shared" si="29"/>
        <v>0.93333333333333335</v>
      </c>
      <c r="Q131" s="32">
        <f t="shared" si="30"/>
        <v>0.66666666666666663</v>
      </c>
      <c r="R131" s="32">
        <f t="shared" si="31"/>
        <v>0.57066666666666666</v>
      </c>
      <c r="S131" s="33">
        <f t="shared" si="32"/>
        <v>0.56000000000000005</v>
      </c>
      <c r="T131" s="90">
        <f t="shared" si="34"/>
        <v>10.4</v>
      </c>
      <c r="U131" s="130">
        <f>IF($C131=0,"",INDEX(Список!I$6:I$85,MATCH($C131,Список_учителя,0)))</f>
        <v>3</v>
      </c>
      <c r="V131" s="145"/>
    </row>
    <row r="132" spans="1:22" ht="12" customHeight="1">
      <c r="A132" s="51">
        <v>59</v>
      </c>
      <c r="B132" s="54">
        <f>IF($A132=0,"",INDEX(Список!O$6:O$85,$A132))</f>
        <v>6</v>
      </c>
      <c r="C132" s="53" t="str">
        <f>IF(A132=0,"",INDEX(Список!M$6:M$85,A132))</f>
        <v>Руденко Н.Ю.</v>
      </c>
      <c r="D132" s="53" t="str">
        <f>IF(A132=0,"",INDEX(Список!N$6:N$85,A132))</f>
        <v>Музыка</v>
      </c>
      <c r="E132" s="54">
        <f>VLOOKUP(D132,ШкалаТрудн!$C$5:$N$36,LEFT(F132,2)+1,0)</f>
        <v>1</v>
      </c>
      <c r="F132" s="27" t="s">
        <v>130</v>
      </c>
      <c r="G132" s="30">
        <v>30</v>
      </c>
      <c r="H132" s="143">
        <v>7</v>
      </c>
      <c r="I132" s="143">
        <v>13</v>
      </c>
      <c r="J132" s="143">
        <v>9</v>
      </c>
      <c r="K132" s="143"/>
      <c r="L132" s="143">
        <v>1</v>
      </c>
      <c r="M132" s="144"/>
      <c r="N132" s="29" t="b">
        <f t="shared" si="33"/>
        <v>1</v>
      </c>
      <c r="O132" s="31">
        <f t="shared" si="28"/>
        <v>3.8</v>
      </c>
      <c r="P132" s="32">
        <f t="shared" si="29"/>
        <v>0.96666666666666667</v>
      </c>
      <c r="Q132" s="32">
        <f t="shared" si="30"/>
        <v>0.66666666666666663</v>
      </c>
      <c r="R132" s="32">
        <f t="shared" si="31"/>
        <v>0.61866666666666659</v>
      </c>
      <c r="S132" s="33">
        <f t="shared" si="32"/>
        <v>0.57999999999999996</v>
      </c>
      <c r="T132" s="90">
        <f t="shared" si="34"/>
        <v>4.5999999999999996</v>
      </c>
      <c r="U132" s="130">
        <f>IF($C132=0,"",INDEX(Список!I$6:I$85,MATCH($C132,Список_учителя,0)))</f>
        <v>34</v>
      </c>
      <c r="V132" s="145"/>
    </row>
    <row r="133" spans="1:22" ht="12" customHeight="1">
      <c r="A133" s="51">
        <v>26</v>
      </c>
      <c r="B133" s="54">
        <f>IF($A133=0,"",INDEX(Список!O$6:O$85,$A133))</f>
        <v>1</v>
      </c>
      <c r="C133" s="53" t="str">
        <f>IF(A133=0,"",INDEX(Список!M$6:M$85,A133))</f>
        <v>Клочко А.М.</v>
      </c>
      <c r="D133" s="53" t="str">
        <f>IF(A133=0,"",INDEX(Список!N$6:N$85,A133))</f>
        <v>Русский язык</v>
      </c>
      <c r="E133" s="54">
        <f>VLOOKUP(D133,ШкалаТрудн!$C$5:$N$36,LEFT(F133,2)+1,0)</f>
        <v>7</v>
      </c>
      <c r="F133" s="27" t="s">
        <v>130</v>
      </c>
      <c r="G133" s="30">
        <v>16</v>
      </c>
      <c r="H133" s="143">
        <v>2</v>
      </c>
      <c r="I133" s="143">
        <v>6</v>
      </c>
      <c r="J133" s="143">
        <v>8</v>
      </c>
      <c r="K133" s="143"/>
      <c r="L133" s="143"/>
      <c r="M133" s="144"/>
      <c r="N133" s="29" t="b">
        <f t="shared" si="33"/>
        <v>1</v>
      </c>
      <c r="O133" s="31">
        <f t="shared" si="28"/>
        <v>3.625</v>
      </c>
      <c r="P133" s="32">
        <f t="shared" si="29"/>
        <v>1</v>
      </c>
      <c r="Q133" s="32">
        <f t="shared" si="30"/>
        <v>0.5</v>
      </c>
      <c r="R133" s="32">
        <f t="shared" si="31"/>
        <v>0.54499999999999993</v>
      </c>
      <c r="S133" s="33">
        <f t="shared" si="32"/>
        <v>0.42499999999999999</v>
      </c>
      <c r="T133" s="90">
        <f t="shared" si="34"/>
        <v>10.625</v>
      </c>
      <c r="U133" s="130" t="e">
        <f>IF($C133=0,"",INDEX(Список!I$6:I$85,MATCH($C133,Список_учителя,0)))</f>
        <v>#N/A</v>
      </c>
      <c r="V133" s="145"/>
    </row>
    <row r="134" spans="1:22" ht="12" customHeight="1">
      <c r="A134" s="51">
        <v>75</v>
      </c>
      <c r="B134" s="54">
        <f>IF($A134=0,"",INDEX(Список!O$6:O$85,$A134))</f>
        <v>9</v>
      </c>
      <c r="C134" s="53" t="str">
        <f>IF(A134=0,"",INDEX(Список!M$6:M$85,A134))</f>
        <v>Юркова М. Ю.</v>
      </c>
      <c r="D134" s="53" t="str">
        <f>IF(A134=0,"",INDEX(Список!N$6:N$85,A134))</f>
        <v>Математика НШ</v>
      </c>
      <c r="E134" s="54">
        <f>VLOOKUP(D134,ШкалаТрудн!$C$5:$N$36,LEFT(F134,2)+1,0)</f>
        <v>0</v>
      </c>
      <c r="F134" s="27" t="s">
        <v>131</v>
      </c>
      <c r="G134" s="30">
        <v>27</v>
      </c>
      <c r="H134" s="143">
        <v>1</v>
      </c>
      <c r="I134" s="143">
        <v>5</v>
      </c>
      <c r="J134" s="143">
        <v>21</v>
      </c>
      <c r="K134" s="143"/>
      <c r="L134" s="143"/>
      <c r="M134" s="144"/>
      <c r="N134" s="29" t="b">
        <f t="shared" si="33"/>
        <v>1</v>
      </c>
      <c r="O134" s="31">
        <f t="shared" ref="O134:O155" si="35">(5*H134+4*I134+3*J134+2*K134)/(G134-M134)</f>
        <v>3.2592592592592591</v>
      </c>
      <c r="P134" s="32">
        <f t="shared" ref="P134:P155" si="36">(SUM(H134:J134)/(G134-M134))</f>
        <v>1</v>
      </c>
      <c r="Q134" s="32">
        <f t="shared" ref="Q134:Q155" si="37">(SUM(H134:I134)/(G134-M134))</f>
        <v>0.22222222222222221</v>
      </c>
      <c r="R134" s="32">
        <f t="shared" ref="R134:R155" si="38">(H134+I134*0.64+J134*0.36+K134*0.16)/(G134-M134)</f>
        <v>0.43555555555555553</v>
      </c>
      <c r="S134" s="33">
        <f t="shared" ref="S134:S155" si="39">(5*H134+4*I134)/((G134-M134)*5)</f>
        <v>0.18518518518518517</v>
      </c>
      <c r="T134" s="90">
        <f t="shared" si="34"/>
        <v>3.2592592592592591</v>
      </c>
      <c r="U134" s="130">
        <f>IF($C134=0,"",INDEX(Список!I$6:I$85,MATCH($C134,Список_учителя,0)))</f>
        <v>42</v>
      </c>
      <c r="V134" s="145"/>
    </row>
    <row r="135" spans="1:22" ht="12" customHeight="1">
      <c r="A135" s="51">
        <v>74</v>
      </c>
      <c r="B135" s="54">
        <f>IF($A135=0,"",INDEX(Список!O$6:O$85,$A135))</f>
        <v>9</v>
      </c>
      <c r="C135" s="53" t="str">
        <f>IF(A135=0,"",INDEX(Список!M$6:M$85,A135))</f>
        <v>Юркова М. Ю.</v>
      </c>
      <c r="D135" s="53" t="str">
        <f>IF(A135=0,"",INDEX(Список!N$6:N$85,A135))</f>
        <v>Литература НШ</v>
      </c>
      <c r="E135" s="54">
        <f>VLOOKUP(D135,ШкалаТрудн!$C$5:$N$36,LEFT(F135,2)+1,0)</f>
        <v>0</v>
      </c>
      <c r="F135" s="27" t="s">
        <v>131</v>
      </c>
      <c r="G135" s="30">
        <v>27</v>
      </c>
      <c r="H135" s="143">
        <v>2</v>
      </c>
      <c r="I135" s="143">
        <v>9</v>
      </c>
      <c r="J135" s="143">
        <v>16</v>
      </c>
      <c r="K135" s="143"/>
      <c r="L135" s="143"/>
      <c r="M135" s="144"/>
      <c r="N135" s="29" t="b">
        <f t="shared" si="33"/>
        <v>1</v>
      </c>
      <c r="O135" s="31">
        <f t="shared" si="35"/>
        <v>3.4814814814814814</v>
      </c>
      <c r="P135" s="32">
        <f t="shared" si="36"/>
        <v>1</v>
      </c>
      <c r="Q135" s="32">
        <f t="shared" si="37"/>
        <v>0.40740740740740738</v>
      </c>
      <c r="R135" s="32">
        <f t="shared" si="38"/>
        <v>0.50074074074074071</v>
      </c>
      <c r="S135" s="33">
        <f t="shared" si="39"/>
        <v>0.34074074074074073</v>
      </c>
      <c r="T135" s="90">
        <f t="shared" si="34"/>
        <v>3.4814814814814814</v>
      </c>
      <c r="U135" s="130">
        <f>IF($C135=0,"",INDEX(Список!I$6:I$85,MATCH($C135,Список_учителя,0)))</f>
        <v>42</v>
      </c>
      <c r="V135" s="145"/>
    </row>
    <row r="136" spans="1:22" ht="12" customHeight="1">
      <c r="A136" s="51">
        <v>5</v>
      </c>
      <c r="B136" s="54">
        <f>IF($A136=0,"",INDEX(Список!O$6:O$85,$A136))</f>
        <v>5</v>
      </c>
      <c r="C136" s="53" t="str">
        <f>IF(A136=0,"",INDEX(Список!M$6:M$85,A136))</f>
        <v>Белякова Ю. В.</v>
      </c>
      <c r="D136" s="53" t="str">
        <f>IF(A136=0,"",INDEX(Список!N$6:N$85,A136))</f>
        <v>Биология</v>
      </c>
      <c r="E136" s="54">
        <f>VLOOKUP(D136,ШкалаТрудн!$C$5:$N$36,LEFT(F136,2)+1,0)</f>
        <v>7</v>
      </c>
      <c r="F136" s="27" t="s">
        <v>131</v>
      </c>
      <c r="G136" s="30">
        <v>14</v>
      </c>
      <c r="H136" s="143">
        <v>2</v>
      </c>
      <c r="I136" s="143">
        <v>6</v>
      </c>
      <c r="J136" s="143">
        <v>6</v>
      </c>
      <c r="K136" s="143"/>
      <c r="L136" s="143"/>
      <c r="M136" s="144"/>
      <c r="N136" s="29" t="b">
        <f t="shared" si="33"/>
        <v>1</v>
      </c>
      <c r="O136" s="31">
        <f t="shared" si="35"/>
        <v>3.7142857142857144</v>
      </c>
      <c r="P136" s="32">
        <f t="shared" si="36"/>
        <v>1</v>
      </c>
      <c r="Q136" s="32">
        <f t="shared" si="37"/>
        <v>0.5714285714285714</v>
      </c>
      <c r="R136" s="32">
        <f t="shared" si="38"/>
        <v>0.5714285714285714</v>
      </c>
      <c r="S136" s="33">
        <f t="shared" si="39"/>
        <v>0.48571428571428571</v>
      </c>
      <c r="T136" s="90">
        <f t="shared" si="34"/>
        <v>10.714285714285715</v>
      </c>
      <c r="U136" s="130">
        <f>IF($C136=0,"",INDEX(Список!I$6:I$85,MATCH($C136,Список_учителя,0)))</f>
        <v>3</v>
      </c>
      <c r="V136" s="145"/>
    </row>
    <row r="137" spans="1:22" ht="12" customHeight="1">
      <c r="A137" s="51">
        <v>21</v>
      </c>
      <c r="B137" s="54">
        <f>IF($A137=0,"",INDEX(Список!O$6:O$85,$A137))</f>
        <v>3</v>
      </c>
      <c r="C137" s="53" t="str">
        <f>IF(A137=0,"",INDEX(Список!M$6:M$85,A137))</f>
        <v>Каменская Н. В.</v>
      </c>
      <c r="D137" s="53" t="str">
        <f>IF(A137=0,"",INDEX(Список!N$6:N$85,A137))</f>
        <v>Алгебра</v>
      </c>
      <c r="E137" s="54">
        <f>VLOOKUP(D137,ШкалаТрудн!$C$5:$N$36,LEFT(F137,2)+1,0)</f>
        <v>9</v>
      </c>
      <c r="F137" s="27" t="s">
        <v>131</v>
      </c>
      <c r="G137" s="30">
        <v>13</v>
      </c>
      <c r="H137" s="143">
        <v>3</v>
      </c>
      <c r="I137" s="143">
        <v>2</v>
      </c>
      <c r="J137" s="143">
        <v>8</v>
      </c>
      <c r="K137" s="143"/>
      <c r="L137" s="143"/>
      <c r="M137" s="144"/>
      <c r="N137" s="29" t="b">
        <f t="shared" si="33"/>
        <v>1</v>
      </c>
      <c r="O137" s="31">
        <f t="shared" si="35"/>
        <v>3.6153846153846154</v>
      </c>
      <c r="P137" s="32">
        <f t="shared" si="36"/>
        <v>1</v>
      </c>
      <c r="Q137" s="32">
        <f t="shared" si="37"/>
        <v>0.38461538461538464</v>
      </c>
      <c r="R137" s="32">
        <f t="shared" si="38"/>
        <v>0.55076923076923079</v>
      </c>
      <c r="S137" s="33">
        <f t="shared" si="39"/>
        <v>0.35384615384615387</v>
      </c>
      <c r="T137" s="90">
        <f t="shared" si="34"/>
        <v>12.615384615384615</v>
      </c>
      <c r="U137" s="130">
        <f>IF($C137=0,"",INDEX(Список!I$6:I$85,MATCH($C137,Список_учителя,0)))</f>
        <v>10</v>
      </c>
      <c r="V137" s="145"/>
    </row>
    <row r="138" spans="1:22" ht="12" customHeight="1">
      <c r="A138" s="51">
        <v>64</v>
      </c>
      <c r="B138" s="54">
        <f>IF($A138=0,"",INDEX(Список!O$6:O$85,$A138))</f>
        <v>1</v>
      </c>
      <c r="C138" s="53" t="str">
        <f>IF(A138=0,"",INDEX(Список!M$6:M$85,A138))</f>
        <v>Скокова Е. В.</v>
      </c>
      <c r="D138" s="53" t="str">
        <f>IF(A138=0,"",INDEX(Список!N$6:N$85,A138))</f>
        <v>Литература</v>
      </c>
      <c r="E138" s="54">
        <f>VLOOKUP(D138,ШкалаТрудн!$C$5:$N$36,LEFT(F138,2)+1,0)</f>
        <v>4</v>
      </c>
      <c r="F138" s="27" t="s">
        <v>131</v>
      </c>
      <c r="G138" s="30">
        <v>27</v>
      </c>
      <c r="H138" s="143"/>
      <c r="I138" s="143">
        <v>9</v>
      </c>
      <c r="J138" s="143">
        <v>18</v>
      </c>
      <c r="K138" s="143"/>
      <c r="L138" s="143"/>
      <c r="M138" s="144"/>
      <c r="N138" s="29" t="b">
        <f t="shared" si="33"/>
        <v>1</v>
      </c>
      <c r="O138" s="31">
        <f t="shared" si="35"/>
        <v>3.3333333333333335</v>
      </c>
      <c r="P138" s="32">
        <f t="shared" si="36"/>
        <v>1</v>
      </c>
      <c r="Q138" s="32">
        <f t="shared" si="37"/>
        <v>0.33333333333333331</v>
      </c>
      <c r="R138" s="32">
        <f t="shared" si="38"/>
        <v>0.45333333333333325</v>
      </c>
      <c r="S138" s="33">
        <f t="shared" si="39"/>
        <v>0.26666666666666666</v>
      </c>
      <c r="T138" s="90">
        <f t="shared" si="34"/>
        <v>7.3333333333333339</v>
      </c>
      <c r="U138" s="130">
        <f>IF($C138=0,"",INDEX(Список!I$6:I$85,MATCH($C138,Список_учителя,0)))</f>
        <v>37</v>
      </c>
      <c r="V138" s="145"/>
    </row>
    <row r="139" spans="1:22" ht="12" customHeight="1">
      <c r="A139" s="51">
        <v>65</v>
      </c>
      <c r="B139" s="54">
        <f>IF($A139=0,"",INDEX(Список!O$6:O$85,$A139))</f>
        <v>6</v>
      </c>
      <c r="C139" s="53" t="str">
        <f>IF(A139=0,"",INDEX(Список!M$6:M$85,A139))</f>
        <v>Скокова Е. В.</v>
      </c>
      <c r="D139" s="53" t="str">
        <f>IF(A139=0,"",INDEX(Список!N$6:N$85,A139))</f>
        <v>МХК</v>
      </c>
      <c r="E139" s="54">
        <f>VLOOKUP(D139,ШкалаТрудн!$C$5:$N$36,LEFT(F139,2)+1,0)</f>
        <v>5</v>
      </c>
      <c r="F139" s="27" t="s">
        <v>131</v>
      </c>
      <c r="G139" s="30">
        <v>27</v>
      </c>
      <c r="H139" s="143">
        <v>2</v>
      </c>
      <c r="I139" s="143">
        <v>9</v>
      </c>
      <c r="J139" s="143">
        <v>16</v>
      </c>
      <c r="K139" s="143"/>
      <c r="L139" s="143"/>
      <c r="M139" s="144"/>
      <c r="N139" s="29" t="b">
        <f t="shared" si="33"/>
        <v>1</v>
      </c>
      <c r="O139" s="31">
        <f t="shared" si="35"/>
        <v>3.4814814814814814</v>
      </c>
      <c r="P139" s="32">
        <f t="shared" si="36"/>
        <v>1</v>
      </c>
      <c r="Q139" s="32">
        <f t="shared" si="37"/>
        <v>0.40740740740740738</v>
      </c>
      <c r="R139" s="32">
        <f t="shared" si="38"/>
        <v>0.50074074074074071</v>
      </c>
      <c r="S139" s="33">
        <f t="shared" si="39"/>
        <v>0.34074074074074073</v>
      </c>
      <c r="T139" s="90">
        <f t="shared" si="34"/>
        <v>8.481481481481481</v>
      </c>
      <c r="U139" s="130">
        <f>IF($C139=0,"",INDEX(Список!I$6:I$85,MATCH($C139,Список_учителя,0)))</f>
        <v>37</v>
      </c>
      <c r="V139" s="145"/>
    </row>
    <row r="140" spans="1:22" ht="12" customHeight="1">
      <c r="A140" s="51">
        <v>40</v>
      </c>
      <c r="B140" s="54">
        <f>IF($A140=0,"",INDEX(Список!O$6:O$85,$A140))</f>
        <v>2</v>
      </c>
      <c r="C140" s="53" t="str">
        <f>IF(A140=0,"",INDEX(Список!M$6:M$85,A140))</f>
        <v>Маслова Е. В.</v>
      </c>
      <c r="D140" s="53" t="str">
        <f>IF(A140=0,"",INDEX(Список!N$6:N$85,A140))</f>
        <v>Английский язык</v>
      </c>
      <c r="E140" s="54">
        <f>VLOOKUP(D140,ШкалаТрудн!$C$5:$N$36,LEFT(F140,2)+1,0)</f>
        <v>8</v>
      </c>
      <c r="F140" s="27" t="s">
        <v>131</v>
      </c>
      <c r="G140" s="30">
        <v>27</v>
      </c>
      <c r="H140" s="143">
        <v>2</v>
      </c>
      <c r="I140" s="143">
        <v>22</v>
      </c>
      <c r="J140" s="143">
        <v>3</v>
      </c>
      <c r="K140" s="143"/>
      <c r="L140" s="143"/>
      <c r="M140" s="144"/>
      <c r="N140" s="29" t="b">
        <f t="shared" ref="N140:N156" si="40">G140=M140+L140+K140+J140+I140+H140</f>
        <v>1</v>
      </c>
      <c r="O140" s="31">
        <f t="shared" si="35"/>
        <v>3.9629629629629628</v>
      </c>
      <c r="P140" s="32">
        <f t="shared" si="36"/>
        <v>1</v>
      </c>
      <c r="Q140" s="32">
        <f t="shared" si="37"/>
        <v>0.88888888888888884</v>
      </c>
      <c r="R140" s="32">
        <f t="shared" si="38"/>
        <v>0.63555555555555543</v>
      </c>
      <c r="S140" s="33">
        <f t="shared" si="39"/>
        <v>0.72592592592592597</v>
      </c>
      <c r="T140" s="90">
        <f t="shared" ref="T140:T156" si="41">(O140+E140)-0.2*(K140+L140)</f>
        <v>11.962962962962962</v>
      </c>
      <c r="U140" s="130">
        <f>IF($C140=0,"",INDEX(Список!I$6:I$85,MATCH($C140,Список_учителя,0)))</f>
        <v>21</v>
      </c>
      <c r="V140" s="145"/>
    </row>
    <row r="141" spans="1:22" ht="12" customHeight="1">
      <c r="A141" s="51">
        <v>59</v>
      </c>
      <c r="B141" s="54">
        <f>IF($A141=0,"",INDEX(Список!O$6:O$85,$A141))</f>
        <v>6</v>
      </c>
      <c r="C141" s="53" t="str">
        <f>IF(A141=0,"",INDEX(Список!M$6:M$85,A141))</f>
        <v>Руденко Н.Ю.</v>
      </c>
      <c r="D141" s="53" t="str">
        <f>IF(A141=0,"",INDEX(Список!N$6:N$85,A141))</f>
        <v>Музыка</v>
      </c>
      <c r="E141" s="54">
        <f>VLOOKUP(D141,ШкалаТрудн!$C$5:$N$36,LEFT(F141,2)+1,0)</f>
        <v>1</v>
      </c>
      <c r="F141" s="27" t="s">
        <v>131</v>
      </c>
      <c r="G141" s="30">
        <v>27</v>
      </c>
      <c r="H141" s="143">
        <v>7</v>
      </c>
      <c r="I141" s="143">
        <v>12</v>
      </c>
      <c r="J141" s="143">
        <v>8</v>
      </c>
      <c r="K141" s="143"/>
      <c r="L141" s="143"/>
      <c r="M141" s="144"/>
      <c r="N141" s="29" t="b">
        <f t="shared" si="40"/>
        <v>1</v>
      </c>
      <c r="O141" s="31">
        <f t="shared" si="35"/>
        <v>3.9629629629629628</v>
      </c>
      <c r="P141" s="32">
        <f t="shared" si="36"/>
        <v>1</v>
      </c>
      <c r="Q141" s="32">
        <f t="shared" si="37"/>
        <v>0.70370370370370372</v>
      </c>
      <c r="R141" s="32">
        <f t="shared" si="38"/>
        <v>0.65037037037037038</v>
      </c>
      <c r="S141" s="33">
        <f t="shared" si="39"/>
        <v>0.61481481481481481</v>
      </c>
      <c r="T141" s="90">
        <f t="shared" si="41"/>
        <v>4.9629629629629628</v>
      </c>
      <c r="U141" s="130">
        <f>IF($C141=0,"",INDEX(Список!I$6:I$85,MATCH($C141,Список_учителя,0)))</f>
        <v>34</v>
      </c>
      <c r="V141" s="145"/>
    </row>
    <row r="142" spans="1:22" ht="12" customHeight="1">
      <c r="A142" s="51">
        <v>26</v>
      </c>
      <c r="B142" s="54">
        <f>IF($A142=0,"",INDEX(Список!O$6:O$85,$A142))</f>
        <v>1</v>
      </c>
      <c r="C142" s="53" t="str">
        <f>IF(A142=0,"",INDEX(Список!M$6:M$85,A142))</f>
        <v>Клочко А.М.</v>
      </c>
      <c r="D142" s="53" t="str">
        <f>IF(A142=0,"",INDEX(Список!N$6:N$85,A142))</f>
        <v>Русский язык</v>
      </c>
      <c r="E142" s="54">
        <f>VLOOKUP(D142,ШкалаТрудн!$C$5:$N$36,LEFT(F142,2)+1,0)</f>
        <v>7</v>
      </c>
      <c r="F142" s="27" t="s">
        <v>131</v>
      </c>
      <c r="G142" s="30">
        <v>18</v>
      </c>
      <c r="H142" s="143">
        <v>3</v>
      </c>
      <c r="I142" s="143">
        <v>5</v>
      </c>
      <c r="J142" s="143">
        <v>10</v>
      </c>
      <c r="K142" s="143"/>
      <c r="L142" s="143"/>
      <c r="M142" s="144"/>
      <c r="N142" s="29" t="b">
        <f t="shared" si="40"/>
        <v>1</v>
      </c>
      <c r="O142" s="31">
        <f t="shared" si="35"/>
        <v>3.6111111111111112</v>
      </c>
      <c r="P142" s="32">
        <f t="shared" si="36"/>
        <v>1</v>
      </c>
      <c r="Q142" s="32">
        <f t="shared" si="37"/>
        <v>0.44444444444444442</v>
      </c>
      <c r="R142" s="32">
        <f t="shared" si="38"/>
        <v>0.54444444444444451</v>
      </c>
      <c r="S142" s="33">
        <f t="shared" si="39"/>
        <v>0.3888888888888889</v>
      </c>
      <c r="T142" s="90">
        <f t="shared" si="41"/>
        <v>10.611111111111111</v>
      </c>
      <c r="U142" s="130" t="e">
        <f>IF($C142=0,"",INDEX(Список!I$6:I$85,MATCH($C142,Список_учителя,0)))</f>
        <v>#N/A</v>
      </c>
      <c r="V142" s="145"/>
    </row>
    <row r="143" spans="1:22" ht="12" customHeight="1">
      <c r="A143" s="51">
        <v>61</v>
      </c>
      <c r="B143" s="54">
        <f>IF($A143=0,"",INDEX(Список!O$6:O$85,$A143))</f>
        <v>9</v>
      </c>
      <c r="C143" s="53" t="str">
        <f>IF(A143=0,"",INDEX(Список!M$6:M$85,A143))</f>
        <v>Самойленко Н. Ф.</v>
      </c>
      <c r="D143" s="53" t="str">
        <f>IF(A143=0,"",INDEX(Список!N$6:N$85,A143))</f>
        <v>Литература НШ</v>
      </c>
      <c r="E143" s="54">
        <f>VLOOKUP(D143,ШкалаТрудн!$C$5:$N$36,LEFT(F143,2)+1,0)</f>
        <v>0</v>
      </c>
      <c r="F143" s="27" t="s">
        <v>132</v>
      </c>
      <c r="G143" s="30">
        <v>7</v>
      </c>
      <c r="H143" s="143">
        <v>1</v>
      </c>
      <c r="I143" s="143">
        <v>3</v>
      </c>
      <c r="J143" s="143">
        <v>3</v>
      </c>
      <c r="K143" s="143"/>
      <c r="L143" s="143"/>
      <c r="M143" s="144"/>
      <c r="N143" s="29" t="b">
        <f t="shared" si="40"/>
        <v>1</v>
      </c>
      <c r="O143" s="31">
        <f t="shared" si="35"/>
        <v>3.7142857142857144</v>
      </c>
      <c r="P143" s="32">
        <f t="shared" si="36"/>
        <v>1</v>
      </c>
      <c r="Q143" s="32">
        <f t="shared" si="37"/>
        <v>0.5714285714285714</v>
      </c>
      <c r="R143" s="32">
        <f t="shared" si="38"/>
        <v>0.5714285714285714</v>
      </c>
      <c r="S143" s="33">
        <f t="shared" si="39"/>
        <v>0.48571428571428571</v>
      </c>
      <c r="T143" s="90">
        <f t="shared" si="41"/>
        <v>3.7142857142857144</v>
      </c>
      <c r="U143" s="130">
        <f>IF($C143=0,"",INDEX(Список!I$6:I$85,MATCH($C143,Список_учителя,0)))</f>
        <v>36</v>
      </c>
      <c r="V143" s="145"/>
    </row>
    <row r="144" spans="1:22" ht="12" customHeight="1">
      <c r="A144" s="51">
        <v>76</v>
      </c>
      <c r="B144" s="54">
        <f>IF($A144=0,"",INDEX(Список!O$6:O$85,$A144))</f>
        <v>9</v>
      </c>
      <c r="C144" s="53" t="str">
        <f>IF(A144=0,"",INDEX(Список!M$6:M$85,A144))</f>
        <v>Юркова М. Ю.</v>
      </c>
      <c r="D144" s="53" t="str">
        <f>IF(A144=0,"",INDEX(Список!N$6:N$85,A144))</f>
        <v>Естествознание НШ</v>
      </c>
      <c r="E144" s="54">
        <f>VLOOKUP(D144,ШкалаТрудн!$C$5:$N$36,LEFT(F144,2)+1,0)</f>
        <v>0</v>
      </c>
      <c r="F144" s="27" t="s">
        <v>132</v>
      </c>
      <c r="G144" s="30">
        <v>16</v>
      </c>
      <c r="H144" s="143">
        <v>3</v>
      </c>
      <c r="I144" s="143">
        <v>5</v>
      </c>
      <c r="J144" s="143">
        <v>8</v>
      </c>
      <c r="K144" s="143"/>
      <c r="L144" s="143"/>
      <c r="M144" s="144"/>
      <c r="N144" s="29" t="b">
        <f t="shared" si="40"/>
        <v>1</v>
      </c>
      <c r="O144" s="31">
        <f t="shared" si="35"/>
        <v>3.6875</v>
      </c>
      <c r="P144" s="32">
        <f t="shared" si="36"/>
        <v>1</v>
      </c>
      <c r="Q144" s="32">
        <f t="shared" si="37"/>
        <v>0.5</v>
      </c>
      <c r="R144" s="32">
        <f t="shared" si="38"/>
        <v>0.5675</v>
      </c>
      <c r="S144" s="33">
        <f t="shared" si="39"/>
        <v>0.4375</v>
      </c>
      <c r="T144" s="90">
        <f t="shared" si="41"/>
        <v>3.6875</v>
      </c>
      <c r="U144" s="130">
        <f>IF($C144=0,"",INDEX(Список!I$6:I$85,MATCH($C144,Список_учителя,0)))</f>
        <v>42</v>
      </c>
      <c r="V144" s="145"/>
    </row>
    <row r="145" spans="1:22" ht="12" customHeight="1">
      <c r="A145" s="51">
        <v>2</v>
      </c>
      <c r="B145" s="54">
        <f>IF($A145=0,"",INDEX(Список!O$6:O$85,$A145))</f>
        <v>3</v>
      </c>
      <c r="C145" s="53" t="str">
        <f>IF(A145=0,"",INDEX(Список!M$6:M$85,A145))</f>
        <v>Адамян С. Ю.</v>
      </c>
      <c r="D145" s="53" t="str">
        <f>IF(A145=0,"",INDEX(Список!N$6:N$85,A145))</f>
        <v>Геометрия</v>
      </c>
      <c r="E145" s="54">
        <f>VLOOKUP(D145,ШкалаТрудн!$C$5:$N$36,LEFT(F145,2)+1,0)</f>
        <v>8</v>
      </c>
      <c r="F145" s="27" t="s">
        <v>132</v>
      </c>
      <c r="G145" s="30">
        <v>23</v>
      </c>
      <c r="H145" s="143"/>
      <c r="I145" s="143">
        <v>5</v>
      </c>
      <c r="J145" s="143">
        <v>17</v>
      </c>
      <c r="K145" s="143"/>
      <c r="L145" s="143">
        <v>1</v>
      </c>
      <c r="M145" s="144"/>
      <c r="N145" s="29" t="b">
        <f t="shared" si="40"/>
        <v>1</v>
      </c>
      <c r="O145" s="31">
        <f t="shared" si="35"/>
        <v>3.0869565217391304</v>
      </c>
      <c r="P145" s="32">
        <f t="shared" si="36"/>
        <v>0.95652173913043481</v>
      </c>
      <c r="Q145" s="32">
        <f t="shared" si="37"/>
        <v>0.21739130434782608</v>
      </c>
      <c r="R145" s="32">
        <f t="shared" si="38"/>
        <v>0.40521739130434786</v>
      </c>
      <c r="S145" s="33">
        <f t="shared" si="39"/>
        <v>0.17391304347826086</v>
      </c>
      <c r="T145" s="90">
        <f t="shared" si="41"/>
        <v>10.886956521739132</v>
      </c>
      <c r="U145" s="130" t="e">
        <f>IF($C145=0,"",INDEX(Список!I$6:I$85,MATCH($C145,Список_учителя,0)))</f>
        <v>#N/A</v>
      </c>
      <c r="V145" s="145"/>
    </row>
    <row r="146" spans="1:22" ht="12" customHeight="1">
      <c r="A146" s="51">
        <v>25</v>
      </c>
      <c r="B146" s="54">
        <f>IF($A146=0,"",INDEX(Список!O$6:O$85,$A146))</f>
        <v>9</v>
      </c>
      <c r="C146" s="53" t="str">
        <f>IF(A146=0,"",INDEX(Список!M$6:M$85,A146))</f>
        <v>Касьянова Н. А.</v>
      </c>
      <c r="D146" s="53" t="str">
        <f>IF(A146=0,"",INDEX(Список!N$6:N$85,A146))</f>
        <v>Естествознание НШ</v>
      </c>
      <c r="E146" s="54">
        <f>VLOOKUP(D146,ШкалаТрудн!$C$5:$N$36,LEFT(F146,2)+1,0)</f>
        <v>0</v>
      </c>
      <c r="F146" s="27" t="s">
        <v>133</v>
      </c>
      <c r="G146" s="30">
        <v>32</v>
      </c>
      <c r="H146" s="143">
        <v>5</v>
      </c>
      <c r="I146" s="143">
        <v>17</v>
      </c>
      <c r="J146" s="143">
        <v>10</v>
      </c>
      <c r="K146" s="143"/>
      <c r="L146" s="143"/>
      <c r="M146" s="144"/>
      <c r="N146" s="29" t="b">
        <f t="shared" si="40"/>
        <v>1</v>
      </c>
      <c r="O146" s="31">
        <f t="shared" si="35"/>
        <v>3.84375</v>
      </c>
      <c r="P146" s="32">
        <f t="shared" si="36"/>
        <v>1</v>
      </c>
      <c r="Q146" s="32">
        <f t="shared" si="37"/>
        <v>0.6875</v>
      </c>
      <c r="R146" s="32">
        <f t="shared" si="38"/>
        <v>0.60875000000000001</v>
      </c>
      <c r="S146" s="33">
        <f t="shared" si="39"/>
        <v>0.58125000000000004</v>
      </c>
      <c r="T146" s="90">
        <f t="shared" si="41"/>
        <v>3.84375</v>
      </c>
      <c r="U146" s="130">
        <f>IF($C146=0,"",INDEX(Список!I$6:I$85,MATCH($C146,Список_учителя,0)))</f>
        <v>11</v>
      </c>
      <c r="V146" s="145"/>
    </row>
    <row r="147" spans="1:22" ht="12" customHeight="1">
      <c r="A147" s="51">
        <v>23</v>
      </c>
      <c r="B147" s="54">
        <f>IF($A147=0,"",INDEX(Список!O$6:O$85,$A147))</f>
        <v>9</v>
      </c>
      <c r="C147" s="53" t="str">
        <f>IF(A147=0,"",INDEX(Список!M$6:M$85,A147))</f>
        <v>Касьянова Н. А.</v>
      </c>
      <c r="D147" s="53" t="str">
        <f>IF(A147=0,"",INDEX(Список!N$6:N$85,A147))</f>
        <v>Литература НШ</v>
      </c>
      <c r="E147" s="54">
        <f>VLOOKUP(D147,ШкалаТрудн!$C$5:$N$36,LEFT(F147,2)+1,0)</f>
        <v>0</v>
      </c>
      <c r="F147" s="27" t="s">
        <v>133</v>
      </c>
      <c r="G147" s="30">
        <v>32</v>
      </c>
      <c r="H147" s="143">
        <v>10</v>
      </c>
      <c r="I147" s="143">
        <v>11</v>
      </c>
      <c r="J147" s="143">
        <v>11</v>
      </c>
      <c r="K147" s="143"/>
      <c r="L147" s="143"/>
      <c r="M147" s="144"/>
      <c r="N147" s="29" t="b">
        <f t="shared" si="40"/>
        <v>1</v>
      </c>
      <c r="O147" s="31">
        <f t="shared" si="35"/>
        <v>3.96875</v>
      </c>
      <c r="P147" s="32">
        <f t="shared" si="36"/>
        <v>1</v>
      </c>
      <c r="Q147" s="32">
        <f t="shared" si="37"/>
        <v>0.65625</v>
      </c>
      <c r="R147" s="32">
        <f t="shared" si="38"/>
        <v>0.65625</v>
      </c>
      <c r="S147" s="33">
        <f t="shared" si="39"/>
        <v>0.58750000000000002</v>
      </c>
      <c r="T147" s="90">
        <f t="shared" si="41"/>
        <v>3.96875</v>
      </c>
      <c r="U147" s="130">
        <f>IF($C147=0,"",INDEX(Список!I$6:I$85,MATCH($C147,Список_учителя,0)))</f>
        <v>11</v>
      </c>
      <c r="V147" s="145"/>
    </row>
    <row r="148" spans="1:22" ht="12" customHeight="1">
      <c r="A148" s="51">
        <v>62</v>
      </c>
      <c r="B148" s="54">
        <f>IF($A148=0,"",INDEX(Список!O$6:O$85,$A148))</f>
        <v>9</v>
      </c>
      <c r="C148" s="53" t="str">
        <f>IF(A148=0,"",INDEX(Список!M$6:M$85,A148))</f>
        <v>Самойленко Н. Ф.</v>
      </c>
      <c r="D148" s="53" t="str">
        <f>IF(A148=0,"",INDEX(Список!N$6:N$85,A148))</f>
        <v>Естествознание НШ</v>
      </c>
      <c r="E148" s="54">
        <f>VLOOKUP(D148,ШкалаТрудн!$C$5:$N$36,LEFT(F148,2)+1,0)</f>
        <v>0</v>
      </c>
      <c r="F148" s="27" t="s">
        <v>133</v>
      </c>
      <c r="G148" s="30">
        <v>11</v>
      </c>
      <c r="H148" s="143">
        <v>5</v>
      </c>
      <c r="I148" s="143">
        <v>5</v>
      </c>
      <c r="J148" s="143">
        <v>1</v>
      </c>
      <c r="K148" s="143"/>
      <c r="L148" s="143"/>
      <c r="M148" s="144"/>
      <c r="N148" s="29" t="b">
        <f t="shared" si="40"/>
        <v>1</v>
      </c>
      <c r="O148" s="31">
        <f t="shared" si="35"/>
        <v>4.3636363636363633</v>
      </c>
      <c r="P148" s="32">
        <f t="shared" si="36"/>
        <v>1</v>
      </c>
      <c r="Q148" s="32">
        <f t="shared" si="37"/>
        <v>0.90909090909090906</v>
      </c>
      <c r="R148" s="32">
        <f t="shared" si="38"/>
        <v>0.77818181818181809</v>
      </c>
      <c r="S148" s="33">
        <f t="shared" si="39"/>
        <v>0.81818181818181823</v>
      </c>
      <c r="T148" s="90">
        <f t="shared" si="41"/>
        <v>4.3636363636363633</v>
      </c>
      <c r="U148" s="130">
        <f>IF($C148=0,"",INDEX(Список!I$6:I$85,MATCH($C148,Список_учителя,0)))</f>
        <v>36</v>
      </c>
      <c r="V148" s="145"/>
    </row>
    <row r="149" spans="1:22" ht="12" customHeight="1">
      <c r="A149" s="51">
        <v>76</v>
      </c>
      <c r="B149" s="54">
        <f>IF($A149=0,"",INDEX(Список!O$6:O$85,$A149))</f>
        <v>9</v>
      </c>
      <c r="C149" s="53" t="str">
        <f>IF(A149=0,"",INDEX(Список!M$6:M$85,A149))</f>
        <v>Юркова М. Ю.</v>
      </c>
      <c r="D149" s="53" t="str">
        <f>IF(A149=0,"",INDEX(Список!N$6:N$85,A149))</f>
        <v>Естествознание НШ</v>
      </c>
      <c r="E149" s="54">
        <f>VLOOKUP(D149,ШкалаТрудн!$C$5:$N$36,LEFT(F149,2)+1,0)</f>
        <v>0</v>
      </c>
      <c r="F149" s="27" t="s">
        <v>133</v>
      </c>
      <c r="G149" s="30">
        <v>11</v>
      </c>
      <c r="H149" s="143">
        <v>5</v>
      </c>
      <c r="I149" s="143">
        <v>5</v>
      </c>
      <c r="J149" s="143">
        <v>1</v>
      </c>
      <c r="K149" s="143"/>
      <c r="L149" s="143"/>
      <c r="M149" s="144"/>
      <c r="N149" s="29" t="b">
        <f t="shared" si="40"/>
        <v>1</v>
      </c>
      <c r="O149" s="31">
        <f t="shared" si="35"/>
        <v>4.3636363636363633</v>
      </c>
      <c r="P149" s="32">
        <f t="shared" si="36"/>
        <v>1</v>
      </c>
      <c r="Q149" s="32">
        <f t="shared" si="37"/>
        <v>0.90909090909090906</v>
      </c>
      <c r="R149" s="32">
        <f t="shared" si="38"/>
        <v>0.77818181818181809</v>
      </c>
      <c r="S149" s="33">
        <f t="shared" si="39"/>
        <v>0.81818181818181823</v>
      </c>
      <c r="T149" s="90">
        <f t="shared" si="41"/>
        <v>4.3636363636363633</v>
      </c>
      <c r="U149" s="130">
        <f>IF($C149=0,"",INDEX(Список!I$6:I$85,MATCH($C149,Список_учителя,0)))</f>
        <v>42</v>
      </c>
      <c r="V149" s="145"/>
    </row>
    <row r="150" spans="1:22" ht="12" customHeight="1">
      <c r="A150" s="51">
        <v>18</v>
      </c>
      <c r="B150" s="54">
        <f>IF($A150=0,"",INDEX(Список!O$6:O$85,$A150))</f>
        <v>3</v>
      </c>
      <c r="C150" s="53" t="str">
        <f>IF(A150=0,"",INDEX(Список!M$6:M$85,A150))</f>
        <v>Даниленко И. Н.</v>
      </c>
      <c r="D150" s="53" t="str">
        <f>IF(A150=0,"",INDEX(Список!N$6:N$85,A150))</f>
        <v>Информатика</v>
      </c>
      <c r="E150" s="54">
        <f>VLOOKUP(D150,ШкалаТрудн!$C$5:$N$36,LEFT(F150,2)+1,0)</f>
        <v>7</v>
      </c>
      <c r="F150" s="27" t="s">
        <v>133</v>
      </c>
      <c r="G150" s="30">
        <v>32</v>
      </c>
      <c r="H150" s="143">
        <v>12</v>
      </c>
      <c r="I150" s="143">
        <v>14</v>
      </c>
      <c r="J150" s="143">
        <v>6</v>
      </c>
      <c r="K150" s="143"/>
      <c r="L150" s="143"/>
      <c r="M150" s="144"/>
      <c r="N150" s="29" t="b">
        <f t="shared" si="40"/>
        <v>1</v>
      </c>
      <c r="O150" s="31">
        <f t="shared" si="35"/>
        <v>4.1875</v>
      </c>
      <c r="P150" s="32">
        <f t="shared" si="36"/>
        <v>1</v>
      </c>
      <c r="Q150" s="32">
        <f t="shared" si="37"/>
        <v>0.8125</v>
      </c>
      <c r="R150" s="32">
        <f t="shared" si="38"/>
        <v>0.72250000000000003</v>
      </c>
      <c r="S150" s="33">
        <f t="shared" si="39"/>
        <v>0.72499999999999998</v>
      </c>
      <c r="T150" s="90">
        <f t="shared" si="41"/>
        <v>11.1875</v>
      </c>
      <c r="U150" s="130">
        <f>IF($C150=0,"",INDEX(Список!I$6:I$85,MATCH($C150,Список_учителя,0)))</f>
        <v>7</v>
      </c>
      <c r="V150" s="145"/>
    </row>
    <row r="151" spans="1:22" ht="12" customHeight="1">
      <c r="A151" s="51">
        <v>76</v>
      </c>
      <c r="B151" s="54">
        <f>IF($A151=0,"",INDEX(Список!O$6:O$85,$A151))</f>
        <v>9</v>
      </c>
      <c r="C151" s="53" t="str">
        <f>IF(A151=0,"",INDEX(Список!M$6:M$85,A151))</f>
        <v>Юркова М. Ю.</v>
      </c>
      <c r="D151" s="53" t="str">
        <f>IF(A151=0,"",INDEX(Список!N$6:N$85,A151))</f>
        <v>Естествознание НШ</v>
      </c>
      <c r="E151" s="54">
        <f>VLOOKUP(D151,ШкалаТрудн!$C$5:$N$36,LEFT(F151,2)+1,0)</f>
        <v>0</v>
      </c>
      <c r="F151" s="27" t="s">
        <v>134</v>
      </c>
      <c r="G151" s="30">
        <v>13</v>
      </c>
      <c r="H151" s="143">
        <v>5</v>
      </c>
      <c r="I151" s="143">
        <v>5</v>
      </c>
      <c r="J151" s="143">
        <v>3</v>
      </c>
      <c r="K151" s="143"/>
      <c r="L151" s="143"/>
      <c r="M151" s="144"/>
      <c r="N151" s="29" t="b">
        <f t="shared" si="40"/>
        <v>1</v>
      </c>
      <c r="O151" s="31">
        <f t="shared" si="35"/>
        <v>4.1538461538461542</v>
      </c>
      <c r="P151" s="32">
        <f t="shared" si="36"/>
        <v>1</v>
      </c>
      <c r="Q151" s="32">
        <f t="shared" si="37"/>
        <v>0.76923076923076927</v>
      </c>
      <c r="R151" s="32">
        <f t="shared" si="38"/>
        <v>0.7138461538461538</v>
      </c>
      <c r="S151" s="33">
        <f t="shared" si="39"/>
        <v>0.69230769230769229</v>
      </c>
      <c r="T151" s="90">
        <f t="shared" si="41"/>
        <v>4.1538461538461542</v>
      </c>
      <c r="U151" s="130">
        <f>IF($C151=0,"",INDEX(Список!I$6:I$85,MATCH($C151,Список_учителя,0)))</f>
        <v>42</v>
      </c>
      <c r="V151" s="145"/>
    </row>
    <row r="152" spans="1:22" ht="12" customHeight="1">
      <c r="A152" s="51">
        <v>58</v>
      </c>
      <c r="B152" s="54">
        <f>IF($A152=0,"",INDEX(Список!O$6:O$85,$A152))</f>
        <v>2</v>
      </c>
      <c r="C152" s="53" t="str">
        <f>IF(A152=0,"",INDEX(Список!M$6:M$85,A152))</f>
        <v>Простова Н. А.</v>
      </c>
      <c r="D152" s="53" t="str">
        <f>IF(A152=0,"",INDEX(Список!N$6:N$85,A152))</f>
        <v>Английский язык</v>
      </c>
      <c r="E152" s="54">
        <f>VLOOKUP(D152,ШкалаТрудн!$C$5:$N$36,LEFT(F152,2)+1,0)</f>
        <v>9</v>
      </c>
      <c r="F152" s="27" t="s">
        <v>135</v>
      </c>
      <c r="G152" s="30">
        <v>25</v>
      </c>
      <c r="H152" s="143">
        <v>2</v>
      </c>
      <c r="I152" s="143">
        <v>8</v>
      </c>
      <c r="J152" s="143">
        <v>15</v>
      </c>
      <c r="K152" s="143"/>
      <c r="L152" s="143"/>
      <c r="M152" s="144"/>
      <c r="N152" s="29" t="b">
        <f t="shared" si="40"/>
        <v>1</v>
      </c>
      <c r="O152" s="31">
        <f t="shared" si="35"/>
        <v>3.48</v>
      </c>
      <c r="P152" s="32">
        <f t="shared" si="36"/>
        <v>1</v>
      </c>
      <c r="Q152" s="32">
        <f t="shared" si="37"/>
        <v>0.4</v>
      </c>
      <c r="R152" s="32">
        <f t="shared" si="38"/>
        <v>0.50080000000000002</v>
      </c>
      <c r="S152" s="33">
        <f t="shared" si="39"/>
        <v>0.33600000000000002</v>
      </c>
      <c r="T152" s="90">
        <f t="shared" si="41"/>
        <v>12.48</v>
      </c>
      <c r="U152" s="130">
        <f>IF($C152=0,"",INDEX(Список!I$6:I$85,MATCH($C152,Список_учителя,0)))</f>
        <v>33</v>
      </c>
      <c r="V152" s="145"/>
    </row>
    <row r="153" spans="1:22" ht="12" customHeight="1">
      <c r="A153" s="51">
        <v>57</v>
      </c>
      <c r="B153" s="54">
        <f>IF($A153=0,"",INDEX(Список!O$6:O$85,$A153))</f>
        <v>3</v>
      </c>
      <c r="C153" s="53" t="str">
        <f>IF(A153=0,"",INDEX(Список!M$6:M$85,A153))</f>
        <v>Попова Т. А.</v>
      </c>
      <c r="D153" s="53" t="str">
        <f>IF(A153=0,"",INDEX(Список!N$6:N$85,A153))</f>
        <v>Математика</v>
      </c>
      <c r="E153" s="54">
        <f>VLOOKUP(D153,ШкалаТрудн!$C$5:$N$36,LEFT(F153,2)+1,0)</f>
        <v>0</v>
      </c>
      <c r="F153" s="27" t="s">
        <v>135</v>
      </c>
      <c r="G153" s="30">
        <v>25</v>
      </c>
      <c r="H153" s="143">
        <v>6</v>
      </c>
      <c r="I153" s="143">
        <v>7</v>
      </c>
      <c r="J153" s="143">
        <v>12</v>
      </c>
      <c r="K153" s="143"/>
      <c r="L153" s="143"/>
      <c r="M153" s="144"/>
      <c r="N153" s="29" t="b">
        <f t="shared" si="40"/>
        <v>1</v>
      </c>
      <c r="O153" s="31">
        <f t="shared" si="35"/>
        <v>3.76</v>
      </c>
      <c r="P153" s="32">
        <f t="shared" si="36"/>
        <v>1</v>
      </c>
      <c r="Q153" s="32">
        <f t="shared" si="37"/>
        <v>0.52</v>
      </c>
      <c r="R153" s="32">
        <f t="shared" si="38"/>
        <v>0.59200000000000008</v>
      </c>
      <c r="S153" s="33">
        <f t="shared" si="39"/>
        <v>0.46400000000000002</v>
      </c>
      <c r="T153" s="90">
        <f t="shared" si="41"/>
        <v>3.76</v>
      </c>
      <c r="U153" s="130">
        <f>IF($C153=0,"",INDEX(Список!I$6:I$85,MATCH($C153,Список_учителя,0)))</f>
        <v>32</v>
      </c>
      <c r="V153" s="145"/>
    </row>
    <row r="154" spans="1:22" ht="12" customHeight="1">
      <c r="A154" s="51">
        <v>62</v>
      </c>
      <c r="B154" s="54">
        <f>IF($A154=0,"",INDEX(Список!O$6:O$85,$A154))</f>
        <v>9</v>
      </c>
      <c r="C154" s="53" t="str">
        <f>IF(A154=0,"",INDEX(Список!M$6:M$85,A154))</f>
        <v>Самойленко Н. Ф.</v>
      </c>
      <c r="D154" s="53" t="str">
        <f>IF(A154=0,"",INDEX(Список!N$6:N$85,A154))</f>
        <v>Естествознание НШ</v>
      </c>
      <c r="E154" s="54">
        <f>VLOOKUP(D154,ШкалаТрудн!$C$5:$N$36,LEFT(F154,2)+1,0)</f>
        <v>0</v>
      </c>
      <c r="F154" s="27" t="s">
        <v>135</v>
      </c>
      <c r="G154" s="30">
        <v>13</v>
      </c>
      <c r="H154" s="143">
        <v>5</v>
      </c>
      <c r="I154" s="143">
        <v>5</v>
      </c>
      <c r="J154" s="143">
        <v>3</v>
      </c>
      <c r="K154" s="143"/>
      <c r="L154" s="143"/>
      <c r="M154" s="144"/>
      <c r="N154" s="29" t="b">
        <f t="shared" si="40"/>
        <v>1</v>
      </c>
      <c r="O154" s="31">
        <f t="shared" si="35"/>
        <v>4.1538461538461542</v>
      </c>
      <c r="P154" s="32">
        <f t="shared" si="36"/>
        <v>1</v>
      </c>
      <c r="Q154" s="32">
        <f t="shared" si="37"/>
        <v>0.76923076923076927</v>
      </c>
      <c r="R154" s="32">
        <f t="shared" si="38"/>
        <v>0.7138461538461538</v>
      </c>
      <c r="S154" s="33">
        <f t="shared" si="39"/>
        <v>0.69230769230769229</v>
      </c>
      <c r="T154" s="90">
        <f t="shared" si="41"/>
        <v>4.1538461538461542</v>
      </c>
      <c r="U154" s="130">
        <f>IF($C154=0,"",INDEX(Список!I$6:I$85,MATCH($C154,Список_учителя,0)))</f>
        <v>36</v>
      </c>
      <c r="V154" s="145"/>
    </row>
    <row r="155" spans="1:22" ht="12" customHeight="1">
      <c r="A155" s="51">
        <v>35</v>
      </c>
      <c r="B155" s="54">
        <f>IF($A155=0,"",INDEX(Список!O$6:O$85,$A155))</f>
        <v>4</v>
      </c>
      <c r="C155" s="53" t="str">
        <f>IF(A155=0,"",INDEX(Список!M$6:M$85,A155))</f>
        <v>Ланова Н.Ю.</v>
      </c>
      <c r="D155" s="53" t="str">
        <f>IF(A155=0,"",INDEX(Список!N$6:N$85,A155))</f>
        <v>Обществознание</v>
      </c>
      <c r="E155" s="54">
        <f>VLOOKUP(D155,ШкалаТрудн!$C$5:$N$36,LEFT(F155,2)+1,0)</f>
        <v>0</v>
      </c>
      <c r="F155" s="27" t="s">
        <v>135</v>
      </c>
      <c r="G155" s="30">
        <v>12</v>
      </c>
      <c r="H155" s="143">
        <v>5</v>
      </c>
      <c r="I155" s="143">
        <v>4</v>
      </c>
      <c r="J155" s="143">
        <v>3</v>
      </c>
      <c r="K155" s="143"/>
      <c r="L155" s="143"/>
      <c r="M155" s="144"/>
      <c r="N155" s="29" t="b">
        <f t="shared" si="40"/>
        <v>1</v>
      </c>
      <c r="O155" s="31">
        <f t="shared" si="35"/>
        <v>4.166666666666667</v>
      </c>
      <c r="P155" s="32">
        <f t="shared" si="36"/>
        <v>1</v>
      </c>
      <c r="Q155" s="32">
        <f t="shared" si="37"/>
        <v>0.75</v>
      </c>
      <c r="R155" s="32">
        <f t="shared" si="38"/>
        <v>0.72000000000000008</v>
      </c>
      <c r="S155" s="33">
        <f t="shared" si="39"/>
        <v>0.68333333333333335</v>
      </c>
      <c r="T155" s="90">
        <f t="shared" si="41"/>
        <v>4.166666666666667</v>
      </c>
      <c r="U155" s="130">
        <f>IF($C155=0,"",INDEX(Список!I$6:I$85,MATCH($C155,Список_учителя,0)))</f>
        <v>18</v>
      </c>
      <c r="V155" s="145"/>
    </row>
    <row r="156" spans="1:22" ht="12" customHeight="1">
      <c r="A156" s="51">
        <v>47</v>
      </c>
      <c r="B156" s="54">
        <f>IF($A156=0,"",INDEX(Список!O$6:O$85,$A156))</f>
        <v>3</v>
      </c>
      <c r="C156" s="53" t="str">
        <f>IF(A156=0,"",INDEX(Список!M$6:M$85,A156))</f>
        <v>Новикова А. Р.</v>
      </c>
      <c r="D156" s="53" t="str">
        <f>IF(A156=0,"",INDEX(Список!N$6:N$85,A156))</f>
        <v>Геометрия</v>
      </c>
      <c r="E156" s="54">
        <f>VLOOKUP(D156,ШкалаТрудн!$C$5:$N$36,LEFT(F156,2)+1,0)</f>
        <v>8</v>
      </c>
      <c r="F156" s="27" t="s">
        <v>135</v>
      </c>
      <c r="G156" s="30">
        <v>25</v>
      </c>
      <c r="H156" s="143">
        <v>4</v>
      </c>
      <c r="I156" s="143">
        <v>8</v>
      </c>
      <c r="J156" s="143">
        <v>13</v>
      </c>
      <c r="K156" s="143"/>
      <c r="L156" s="143"/>
      <c r="M156" s="144"/>
      <c r="N156" s="29" t="b">
        <f t="shared" si="40"/>
        <v>1</v>
      </c>
      <c r="O156" s="31">
        <f t="shared" ref="O156:O159" si="42">(5*H156+4*I156+3*J156+2*K156)/(G156-M156)</f>
        <v>3.64</v>
      </c>
      <c r="P156" s="32">
        <f t="shared" ref="P156:P159" si="43">(SUM(H156:J156)/(G156-M156))</f>
        <v>1</v>
      </c>
      <c r="Q156" s="32">
        <f t="shared" ref="Q156:Q159" si="44">(SUM(H156:I156)/(G156-M156))</f>
        <v>0.48</v>
      </c>
      <c r="R156" s="32">
        <f t="shared" ref="R156:R159" si="45">(H156+I156*0.64+J156*0.36+K156*0.16)/(G156-M156)</f>
        <v>0.55200000000000005</v>
      </c>
      <c r="S156" s="33">
        <f t="shared" ref="S156:S159" si="46">(5*H156+4*I156)/((G156-M156)*5)</f>
        <v>0.41599999999999998</v>
      </c>
      <c r="T156" s="90">
        <f t="shared" si="41"/>
        <v>11.64</v>
      </c>
      <c r="U156" s="130">
        <f>IF($C156=0,"",INDEX(Список!I$6:I$85,MATCH($C156,Список_учителя,0)))</f>
        <v>26</v>
      </c>
      <c r="V156" s="145"/>
    </row>
    <row r="157" spans="1:22" ht="12" customHeight="1">
      <c r="A157" s="51">
        <v>76</v>
      </c>
      <c r="B157" s="54">
        <f>IF($A157=0,"",INDEX(Список!O$6:O$85,$A157))</f>
        <v>9</v>
      </c>
      <c r="C157" s="53" t="str">
        <f>IF(A157=0,"",INDEX(Список!M$6:M$85,A157))</f>
        <v>Юркова М. Ю.</v>
      </c>
      <c r="D157" s="53" t="str">
        <f>IF(A157=0,"",INDEX(Список!N$6:N$85,A157))</f>
        <v>Естествознание НШ</v>
      </c>
      <c r="E157" s="54">
        <f>VLOOKUP(D157,ШкалаТрудн!$C$5:$N$36,LEFT(F157,2)+1,0)</f>
        <v>0</v>
      </c>
      <c r="F157" s="27" t="s">
        <v>136</v>
      </c>
      <c r="G157" s="30">
        <v>14</v>
      </c>
      <c r="H157" s="143">
        <v>3</v>
      </c>
      <c r="I157" s="143">
        <v>5</v>
      </c>
      <c r="J157" s="143">
        <v>6</v>
      </c>
      <c r="K157" s="143"/>
      <c r="L157" s="143"/>
      <c r="M157" s="144"/>
      <c r="N157" s="29" t="b">
        <f t="shared" ref="N157:N159" si="47">G157=M157+L157+K157+J157+I157+H157</f>
        <v>1</v>
      </c>
      <c r="O157" s="31">
        <f t="shared" si="42"/>
        <v>3.7857142857142856</v>
      </c>
      <c r="P157" s="32">
        <f t="shared" si="43"/>
        <v>1</v>
      </c>
      <c r="Q157" s="32">
        <f t="shared" si="44"/>
        <v>0.5714285714285714</v>
      </c>
      <c r="R157" s="32">
        <f t="shared" si="45"/>
        <v>0.59714285714285709</v>
      </c>
      <c r="S157" s="33">
        <f t="shared" si="46"/>
        <v>0.5</v>
      </c>
      <c r="T157" s="90">
        <f t="shared" ref="T157:T159" si="48">(O157+E157)-0.2*(K157+L157)</f>
        <v>3.7857142857142856</v>
      </c>
      <c r="U157" s="130">
        <f>IF($C157=0,"",INDEX(Список!I$6:I$85,MATCH($C157,Список_учителя,0)))</f>
        <v>42</v>
      </c>
      <c r="V157" s="145"/>
    </row>
    <row r="158" spans="1:22" ht="12" customHeight="1">
      <c r="A158" s="51">
        <v>47</v>
      </c>
      <c r="B158" s="54">
        <f>IF($A158=0,"",INDEX(Список!O$6:O$85,$A158))</f>
        <v>3</v>
      </c>
      <c r="C158" s="53" t="str">
        <f>IF(A158=0,"",INDEX(Список!M$6:M$85,A158))</f>
        <v>Новикова А. Р.</v>
      </c>
      <c r="D158" s="53" t="str">
        <f>IF(A158=0,"",INDEX(Список!N$6:N$85,A158))</f>
        <v>Геометрия</v>
      </c>
      <c r="E158" s="54">
        <f>VLOOKUP(D158,ШкалаТрудн!$C$5:$N$36,LEFT(F158,2)+1,0)</f>
        <v>8</v>
      </c>
      <c r="F158" s="27" t="s">
        <v>136</v>
      </c>
      <c r="G158" s="30">
        <v>14</v>
      </c>
      <c r="H158" s="143">
        <v>2</v>
      </c>
      <c r="I158" s="143">
        <v>3</v>
      </c>
      <c r="J158" s="143">
        <v>9</v>
      </c>
      <c r="K158" s="143"/>
      <c r="L158" s="143"/>
      <c r="M158" s="144"/>
      <c r="N158" s="29" t="b">
        <f t="shared" si="47"/>
        <v>1</v>
      </c>
      <c r="O158" s="31">
        <f t="shared" si="42"/>
        <v>3.5</v>
      </c>
      <c r="P158" s="32">
        <f t="shared" si="43"/>
        <v>1</v>
      </c>
      <c r="Q158" s="32">
        <f t="shared" si="44"/>
        <v>0.35714285714285715</v>
      </c>
      <c r="R158" s="32">
        <f t="shared" si="45"/>
        <v>0.51142857142857145</v>
      </c>
      <c r="S158" s="33">
        <f t="shared" si="46"/>
        <v>0.31428571428571428</v>
      </c>
      <c r="T158" s="90">
        <f t="shared" si="48"/>
        <v>11.5</v>
      </c>
      <c r="U158" s="130">
        <f>IF($C158=0,"",INDEX(Список!I$6:I$85,MATCH($C158,Список_учителя,0)))</f>
        <v>26</v>
      </c>
      <c r="V158" s="145"/>
    </row>
    <row r="159" spans="1:22" ht="12" customHeight="1">
      <c r="A159" s="51">
        <v>18</v>
      </c>
      <c r="B159" s="54">
        <f>IF($A159=0,"",INDEX(Список!O$6:O$85,$A159))</f>
        <v>3</v>
      </c>
      <c r="C159" s="53" t="str">
        <f>IF(A159=0,"",INDEX(Список!M$6:M$85,A159))</f>
        <v>Даниленко И. Н.</v>
      </c>
      <c r="D159" s="53" t="str">
        <f>IF(A159=0,"",INDEX(Список!N$6:N$85,A159))</f>
        <v>Информатика</v>
      </c>
      <c r="E159" s="54">
        <f>VLOOKUP(D159,ШкалаТрудн!$C$5:$N$36,LEFT(F159,2)+1,0)</f>
        <v>7</v>
      </c>
      <c r="F159" s="27" t="s">
        <v>136</v>
      </c>
      <c r="G159" s="30">
        <v>27</v>
      </c>
      <c r="H159" s="143">
        <v>10</v>
      </c>
      <c r="I159" s="143">
        <v>13</v>
      </c>
      <c r="J159" s="143">
        <v>4</v>
      </c>
      <c r="K159" s="143"/>
      <c r="L159" s="143"/>
      <c r="M159" s="144"/>
      <c r="N159" s="29" t="b">
        <f t="shared" si="47"/>
        <v>1</v>
      </c>
      <c r="O159" s="31">
        <f t="shared" si="42"/>
        <v>4.2222222222222223</v>
      </c>
      <c r="P159" s="32">
        <f t="shared" si="43"/>
        <v>1</v>
      </c>
      <c r="Q159" s="32">
        <f t="shared" si="44"/>
        <v>0.85185185185185186</v>
      </c>
      <c r="R159" s="32">
        <f t="shared" si="45"/>
        <v>0.73185185185185186</v>
      </c>
      <c r="S159" s="33">
        <f t="shared" si="46"/>
        <v>0.75555555555555554</v>
      </c>
      <c r="T159" s="90">
        <f t="shared" si="48"/>
        <v>11.222222222222221</v>
      </c>
      <c r="U159" s="130">
        <f>IF($C159=0,"",INDEX(Список!I$6:I$85,MATCH($C159,Список_учителя,0)))</f>
        <v>7</v>
      </c>
      <c r="V159" s="145"/>
    </row>
  </sheetData>
  <sheetProtection sheet="1" objects="1" scenarios="1" formatCells="0" formatColumns="0" formatRows="0" autoFilter="0"/>
  <autoFilter ref="B5:F159"/>
  <mergeCells count="20">
    <mergeCell ref="B3:B4"/>
    <mergeCell ref="C2:D2"/>
    <mergeCell ref="M3:N4"/>
    <mergeCell ref="A1:T1"/>
    <mergeCell ref="T3:T4"/>
    <mergeCell ref="E3:E4"/>
    <mergeCell ref="M5:N5"/>
    <mergeCell ref="P2:S2"/>
    <mergeCell ref="A3:A4"/>
    <mergeCell ref="C3:C4"/>
    <mergeCell ref="D3:D4"/>
    <mergeCell ref="F3:F4"/>
    <mergeCell ref="L3:L4"/>
    <mergeCell ref="R3:R4"/>
    <mergeCell ref="G3:G4"/>
    <mergeCell ref="H3:K3"/>
    <mergeCell ref="S3:S4"/>
    <mergeCell ref="O3:O4"/>
    <mergeCell ref="P3:P4"/>
    <mergeCell ref="Q3:Q4"/>
  </mergeCells>
  <phoneticPr fontId="0" type="noConversion"/>
  <conditionalFormatting sqref="O6:O159">
    <cfRule type="cellIs" dxfId="19" priority="9" stopIfTrue="1" operator="lessThanOrEqual">
      <formula>3.5</formula>
    </cfRule>
    <cfRule type="cellIs" dxfId="18" priority="10" stopIfTrue="1" operator="between">
      <formula>3.5</formula>
      <formula>4.5</formula>
    </cfRule>
    <cfRule type="cellIs" dxfId="17" priority="11" stopIfTrue="1" operator="greaterThanOrEqual">
      <formula>4.5</formula>
    </cfRule>
  </conditionalFormatting>
  <conditionalFormatting sqref="P6:P159">
    <cfRule type="cellIs" dxfId="16" priority="12" stopIfTrue="1" operator="greaterThanOrEqual">
      <formula>0.975</formula>
    </cfRule>
    <cfRule type="cellIs" dxfId="15" priority="13" stopIfTrue="1" operator="between">
      <formula>0.95</formula>
      <formula>0.975</formula>
    </cfRule>
    <cfRule type="cellIs" dxfId="14" priority="14" stopIfTrue="1" operator="between">
      <formula>0</formula>
      <formula>0.95</formula>
    </cfRule>
  </conditionalFormatting>
  <conditionalFormatting sqref="Q6:Q159">
    <cfRule type="cellIs" dxfId="13" priority="15" stopIfTrue="1" operator="greaterThanOrEqual">
      <formula>0.75</formula>
    </cfRule>
    <cfRule type="cellIs" dxfId="12" priority="16" stopIfTrue="1" operator="between">
      <formula>0.33</formula>
      <formula>0.75</formula>
    </cfRule>
    <cfRule type="cellIs" dxfId="11" priority="17" stopIfTrue="1" operator="between">
      <formula>0</formula>
      <formula>0.33</formula>
    </cfRule>
  </conditionalFormatting>
  <conditionalFormatting sqref="R6:R159">
    <cfRule type="cellIs" dxfId="10" priority="18" stopIfTrue="1" operator="greaterThanOrEqual">
      <formula>0.8</formula>
    </cfRule>
    <cfRule type="cellIs" dxfId="9" priority="19" stopIfTrue="1" operator="between">
      <formula>0.6</formula>
      <formula>0.8</formula>
    </cfRule>
    <cfRule type="cellIs" dxfId="8" priority="20" stopIfTrue="1" operator="between">
      <formula>0</formula>
      <formula>0.6</formula>
    </cfRule>
  </conditionalFormatting>
  <conditionalFormatting sqref="S6:S159">
    <cfRule type="cellIs" dxfId="7" priority="21" stopIfTrue="1" operator="greaterThanOrEqual">
      <formula>0.85</formula>
    </cfRule>
    <cfRule type="cellIs" dxfId="6" priority="22" stopIfTrue="1" operator="between">
      <formula>0.5</formula>
      <formula>0.85</formula>
    </cfRule>
    <cfRule type="cellIs" dxfId="5" priority="23" stopIfTrue="1" operator="between">
      <formula>0</formula>
      <formula>0.5</formula>
    </cfRule>
  </conditionalFormatting>
  <conditionalFormatting sqref="A6:G159 V6:V159">
    <cfRule type="cellIs" dxfId="4" priority="24" stopIfTrue="1" operator="notEqual">
      <formula>0</formula>
    </cfRule>
  </conditionalFormatting>
  <conditionalFormatting sqref="N6:N159">
    <cfRule type="containsText" dxfId="3" priority="8" operator="containsText" text="ЛОЖЬ">
      <formula>NOT(ISERROR(SEARCH("ЛОЖЬ",N6)))</formula>
    </cfRule>
  </conditionalFormatting>
  <conditionalFormatting sqref="T6:T159">
    <cfRule type="cellIs" dxfId="2" priority="4" operator="greaterThanOrEqual">
      <formula>10</formula>
    </cfRule>
    <cfRule type="cellIs" dxfId="1" priority="5" operator="between">
      <formula>5</formula>
      <formula>10</formula>
    </cfRule>
    <cfRule type="cellIs" dxfId="0" priority="6" operator="lessThanOrEqual">
      <formula>5</formula>
    </cfRule>
  </conditionalFormatting>
  <dataValidations count="1">
    <dataValidation type="list" allowBlank="1" showInputMessage="1" showErrorMessage="1" sqref="F6:F159">
      <formula1>Список!$Q$6:$Q$65</formula1>
    </dataValidation>
  </dataValidations>
  <pageMargins left="0.17" right="0.16" top="0.61" bottom="0.34" header="0.46" footer="0.16"/>
  <pageSetup paperSize="9" orientation="landscape" verticalDpi="300" r:id="rId1"/>
  <headerFooter alignWithMargins="0">
    <oddFooter>Страница &amp;P&amp;R&amp;A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128"/>
  <dimension ref="A1:R70"/>
  <sheetViews>
    <sheetView showGridLines="0" showRowColHeaders="0" showZeros="0" workbookViewId="0">
      <pane ySplit="5" topLeftCell="A6" activePane="bottomLeft" state="frozen"/>
      <selection activeCell="B5" sqref="B5:B104"/>
      <selection pane="bottomLeft" activeCell="A4" sqref="A4"/>
    </sheetView>
  </sheetViews>
  <sheetFormatPr defaultRowHeight="12.75"/>
  <cols>
    <col min="1" max="1" width="4.1640625" style="1" customWidth="1"/>
    <col min="2" max="2" width="5" style="1" customWidth="1"/>
    <col min="3" max="3" width="6" style="1" customWidth="1"/>
    <col min="4" max="4" width="17.5" style="64" customWidth="1"/>
    <col min="5" max="5" width="18.83203125" style="66" customWidth="1"/>
    <col min="6" max="6" width="6.33203125" style="3" customWidth="1"/>
    <col min="7" max="10" width="4.83203125" style="3" customWidth="1"/>
    <col min="11" max="12" width="4.5" style="3" customWidth="1"/>
    <col min="13" max="13" width="6.1640625" style="3" customWidth="1"/>
    <col min="14" max="14" width="9" style="3" customWidth="1"/>
    <col min="15" max="15" width="7.33203125" style="3" customWidth="1"/>
    <col min="16" max="16" width="8.5" style="3" customWidth="1"/>
    <col min="17" max="17" width="9.33203125" style="3"/>
    <col min="18" max="18" width="13" style="1" customWidth="1"/>
    <col min="19" max="16384" width="9.33203125" style="1"/>
  </cols>
  <sheetData>
    <row r="1" spans="1:18" ht="28.5" customHeight="1">
      <c r="B1" s="86"/>
      <c r="D1" s="202" t="str">
        <f>TRIM(Titul!$B3)</f>
        <v>Муниципальное бюджетное общеобразовательное учреждение: средняя общеобразовательная школа №123 Центрального р-на г.Ростова-на-Дону</v>
      </c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</row>
    <row r="2" spans="1:18" s="5" customFormat="1" ht="16.5" customHeight="1">
      <c r="D2" s="207" t="str">
        <f>Titul!D5</f>
        <v>2011/12 учебный год</v>
      </c>
      <c r="E2" s="207"/>
      <c r="F2" s="59"/>
      <c r="G2" s="4"/>
      <c r="H2" s="4"/>
      <c r="I2" s="4"/>
      <c r="J2" s="4"/>
      <c r="K2" s="4"/>
      <c r="L2" s="4"/>
      <c r="M2" s="4"/>
      <c r="N2" s="184" t="str">
        <f>Titul!D7</f>
        <v>1 четверть</v>
      </c>
      <c r="O2" s="184"/>
      <c r="P2" s="184"/>
      <c r="Q2" s="184"/>
      <c r="R2" s="1"/>
    </row>
    <row r="3" spans="1:18" ht="12.75" customHeight="1">
      <c r="A3" s="104" t="s">
        <v>72</v>
      </c>
      <c r="B3" s="211" t="s">
        <v>18</v>
      </c>
      <c r="C3" s="213" t="s">
        <v>42</v>
      </c>
      <c r="D3" s="205" t="s">
        <v>5</v>
      </c>
      <c r="E3" s="205" t="s">
        <v>6</v>
      </c>
      <c r="F3" s="211" t="s">
        <v>8</v>
      </c>
      <c r="G3" s="210" t="s">
        <v>17</v>
      </c>
      <c r="H3" s="210"/>
      <c r="I3" s="210"/>
      <c r="J3" s="210"/>
      <c r="K3" s="205" t="s">
        <v>13</v>
      </c>
      <c r="L3" s="205" t="s">
        <v>14</v>
      </c>
      <c r="M3" s="205" t="s">
        <v>28</v>
      </c>
      <c r="N3" s="205" t="s">
        <v>15</v>
      </c>
      <c r="O3" s="205" t="s">
        <v>85</v>
      </c>
      <c r="P3" s="205" t="s">
        <v>31</v>
      </c>
      <c r="Q3" s="208" t="s">
        <v>30</v>
      </c>
      <c r="R3" s="203" t="s">
        <v>144</v>
      </c>
    </row>
    <row r="4" spans="1:18" s="7" customFormat="1" ht="27.75" customHeight="1">
      <c r="A4" s="122"/>
      <c r="B4" s="206"/>
      <c r="C4" s="214"/>
      <c r="D4" s="206"/>
      <c r="E4" s="206"/>
      <c r="F4" s="212"/>
      <c r="G4" s="110" t="s">
        <v>9</v>
      </c>
      <c r="H4" s="110" t="s">
        <v>10</v>
      </c>
      <c r="I4" s="110" t="s">
        <v>11</v>
      </c>
      <c r="J4" s="110" t="s">
        <v>12</v>
      </c>
      <c r="K4" s="206"/>
      <c r="L4" s="206"/>
      <c r="M4" s="206"/>
      <c r="N4" s="206"/>
      <c r="O4" s="206"/>
      <c r="P4" s="206"/>
      <c r="Q4" s="209"/>
      <c r="R4" s="204"/>
    </row>
    <row r="5" spans="1:18" ht="11.25" customHeight="1">
      <c r="B5" s="118"/>
      <c r="C5" s="119"/>
      <c r="D5" s="118"/>
      <c r="E5" s="120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7"/>
    </row>
    <row r="6" spans="1:18">
      <c r="B6" s="113">
        <f>Список!L7</f>
        <v>2</v>
      </c>
      <c r="C6" s="112">
        <f>Список!O7</f>
        <v>3</v>
      </c>
      <c r="D6" s="114" t="str">
        <f>Список!M7</f>
        <v>Адамян С. Ю.</v>
      </c>
      <c r="E6" s="114" t="str">
        <f>Список!N7</f>
        <v>Геометрия</v>
      </c>
      <c r="F6" s="112">
        <f>SUMIF('Таблица общая'!$A$6:$A$159,"2",'Таблица общая'!G$6:G$159)</f>
        <v>75</v>
      </c>
      <c r="G6" s="112">
        <f>SUMIF('Таблица общая'!$A$6:$A$159,"2",'Таблица общая'!H$6:H$159)</f>
        <v>3</v>
      </c>
      <c r="H6" s="112">
        <f>SUMIF('Таблица общая'!$A$6:$A$159,"2",'Таблица общая'!I$6:I$159)</f>
        <v>28</v>
      </c>
      <c r="I6" s="112">
        <f>SUMIF('Таблица общая'!$A$6:$A$159,"2",'Таблица общая'!J$6:J$159)</f>
        <v>43</v>
      </c>
      <c r="J6" s="112">
        <f>SUMIF('Таблица общая'!$A$6:$A$159,"2",'Таблица общая'!K$6:K$159)</f>
        <v>0</v>
      </c>
      <c r="K6" s="112">
        <f>SUMIF('Таблица общая'!$A$6:$A$159,"2",'Таблица общая'!L$6:L$159)</f>
        <v>1</v>
      </c>
      <c r="L6" s="112">
        <f>SUMIF('Таблица общая'!$A$6:$A$159,"2",'Таблица общая'!M$6:M$159)</f>
        <v>0</v>
      </c>
      <c r="M6" s="115">
        <f>(5*G6+4*H6+3*I6+2*J6)/(F6-L6)</f>
        <v>3.4133333333333336</v>
      </c>
      <c r="N6" s="116">
        <f>(SUM(G6:I6)/(F6-L6))</f>
        <v>0.98666666666666669</v>
      </c>
      <c r="O6" s="116">
        <f>(SUM(G6:H6)/(F6-L6))</f>
        <v>0.41333333333333333</v>
      </c>
      <c r="P6" s="116">
        <f>(G6+H6*0.64+I6*0.36+J6*0.16)/(F6-L6)</f>
        <v>0.48533333333333334</v>
      </c>
      <c r="Q6" s="116">
        <f>(5*G6+4*H6)/((F6-L6)*5)</f>
        <v>0.33866666666666667</v>
      </c>
      <c r="R6" s="115">
        <f>SUMIFS('Таблица общая'!T$6:T$159,'Таблица общая'!A$6:A$159,B6)/COUNTIFS('Таблица общая'!A$6:A$159,B6,'Таблица общая'!A$6:A$159,"&gt;0")</f>
        <v>13.332195383789587</v>
      </c>
    </row>
    <row r="7" spans="1:18">
      <c r="B7" s="113">
        <f>Список!L8</f>
        <v>3</v>
      </c>
      <c r="C7" s="112">
        <f>Список!O8</f>
        <v>1</v>
      </c>
      <c r="D7" s="114" t="str">
        <f>Список!M8</f>
        <v>Алферова Н. М.</v>
      </c>
      <c r="E7" s="114" t="str">
        <f>Список!N8</f>
        <v>Литература</v>
      </c>
      <c r="F7" s="112">
        <f>SUMIF('Таблица общая'!$A$6:$A$159,"3",'Таблица общая'!G$6:G$159)</f>
        <v>107</v>
      </c>
      <c r="G7" s="112">
        <f>SUMIF('Таблица общая'!$A$6:$A$159,"3",'Таблица общая'!H$6:H$159)</f>
        <v>38</v>
      </c>
      <c r="H7" s="112">
        <f>SUMIF('Таблица общая'!$A$6:$A$159,"3",'Таблица общая'!I$6:I$159)</f>
        <v>59</v>
      </c>
      <c r="I7" s="112">
        <f>SUMIF('Таблица общая'!$A$6:$A$159,"3",'Таблица общая'!J$6:J$159)</f>
        <v>10</v>
      </c>
      <c r="J7" s="112">
        <f>SUMIF('Таблица общая'!$A$6:$A$159,"3",'Таблица общая'!K$6:K$159)</f>
        <v>0</v>
      </c>
      <c r="K7" s="112">
        <f>SUMIF('Таблица общая'!$A$6:$A$159,"3",'Таблица общая'!L$6:L$159)</f>
        <v>0</v>
      </c>
      <c r="L7" s="112">
        <f>SUMIF('Таблица общая'!$A$6:$A$159,"3",'Таблица общая'!M$6:M$159)</f>
        <v>0</v>
      </c>
      <c r="M7" s="115">
        <f t="shared" ref="M7:M26" si="0">(5*G7+4*H7+3*I7+2*J7)/(F7-L7)</f>
        <v>4.2616822429906538</v>
      </c>
      <c r="N7" s="116">
        <f t="shared" ref="N7:N26" si="1">(SUM(G7:I7)/(F7-L7))</f>
        <v>1</v>
      </c>
      <c r="O7" s="116">
        <f t="shared" ref="O7:O26" si="2">(SUM(G7:H7)/(F7-L7))</f>
        <v>0.90654205607476634</v>
      </c>
      <c r="P7" s="116">
        <f t="shared" ref="P7:P26" si="3">(G7+H7*0.64+I7*0.36+J7*0.16)/(F7-L7)</f>
        <v>0.74168224299065411</v>
      </c>
      <c r="Q7" s="116">
        <f t="shared" ref="Q7:Q26" si="4">(5*G7+4*H7)/((F7-L7)*5)</f>
        <v>0.79626168224299065</v>
      </c>
      <c r="R7" s="115">
        <f>SUMIFS('Таблица общая'!T$6:T$159,'Таблица общая'!A$6:A$159,B7)/COUNTIFS('Таблица общая'!A$6:A$159,B7,'Таблица общая'!A$6:A$159,"&gt;0")</f>
        <v>9.2536183831161356</v>
      </c>
    </row>
    <row r="8" spans="1:18">
      <c r="B8" s="113">
        <f>Список!L9</f>
        <v>4</v>
      </c>
      <c r="C8" s="112">
        <f>Список!O9</f>
        <v>1</v>
      </c>
      <c r="D8" s="114" t="str">
        <f>Список!M9</f>
        <v>Алферова Н. М.</v>
      </c>
      <c r="E8" s="114" t="str">
        <f>Список!N9</f>
        <v>Русский язык</v>
      </c>
      <c r="F8" s="112">
        <f>SUMIF('Таблица общая'!$A$6:$A$159,"4",'Таблица общая'!G$6:G$159)</f>
        <v>52</v>
      </c>
      <c r="G8" s="112">
        <f>SUMIF('Таблица общая'!$A$6:$A$159,"4",'Таблица общая'!H$6:H$159)</f>
        <v>0</v>
      </c>
      <c r="H8" s="112">
        <f>SUMIF('Таблица общая'!$A$6:$A$159,"4",'Таблица общая'!I$6:I$159)</f>
        <v>25</v>
      </c>
      <c r="I8" s="112">
        <f>SUMIF('Таблица общая'!$A$6:$A$159,"4",'Таблица общая'!J$6:J$159)</f>
        <v>27</v>
      </c>
      <c r="J8" s="112">
        <f>SUMIF('Таблица общая'!$A$6:$A$159,"4",'Таблица общая'!K$6:K$159)</f>
        <v>0</v>
      </c>
      <c r="K8" s="112">
        <f>SUMIF('Таблица общая'!$A$6:$A$159,"4",'Таблица общая'!L$6:L$159)</f>
        <v>0</v>
      </c>
      <c r="L8" s="112">
        <f>SUMIF('Таблица общая'!$A$6:$A$159,"4",'Таблица общая'!M$6:M$159)</f>
        <v>0</v>
      </c>
      <c r="M8" s="115">
        <f t="shared" si="0"/>
        <v>3.4807692307692308</v>
      </c>
      <c r="N8" s="116">
        <f t="shared" si="1"/>
        <v>1</v>
      </c>
      <c r="O8" s="116">
        <f t="shared" si="2"/>
        <v>0.48076923076923078</v>
      </c>
      <c r="P8" s="116">
        <f t="shared" si="3"/>
        <v>0.49461538461538457</v>
      </c>
      <c r="Q8" s="116">
        <f t="shared" si="4"/>
        <v>0.38461538461538464</v>
      </c>
      <c r="R8" s="115">
        <f>SUMIFS('Таблица общая'!T$6:T$159,'Таблица общая'!A$6:A$159,B8)/COUNTIFS('Таблица общая'!A$6:A$159,B8,'Таблица общая'!A$6:A$159,"&gt;0")</f>
        <v>15.453523238380811</v>
      </c>
    </row>
    <row r="9" spans="1:18">
      <c r="B9" s="113">
        <f>Список!L10</f>
        <v>5</v>
      </c>
      <c r="C9" s="112">
        <f>Список!O10</f>
        <v>5</v>
      </c>
      <c r="D9" s="114" t="str">
        <f>Список!M10</f>
        <v>Белякова Ю. В.</v>
      </c>
      <c r="E9" s="114" t="str">
        <f>Список!N10</f>
        <v>Биология</v>
      </c>
      <c r="F9" s="112">
        <f>SUMIF('Таблица общая'!$A$6:$A$159,"5",'Таблица общая'!G$6:G$159)</f>
        <v>41</v>
      </c>
      <c r="G9" s="112">
        <f>SUMIF('Таблица общая'!$A$6:$A$159,"5",'Таблица общая'!H$6:H$159)</f>
        <v>6</v>
      </c>
      <c r="H9" s="112">
        <f>SUMIF('Таблица общая'!$A$6:$A$159,"5",'Таблица общая'!I$6:I$159)</f>
        <v>20</v>
      </c>
      <c r="I9" s="112">
        <f>SUMIF('Таблица общая'!$A$6:$A$159,"5",'Таблица общая'!J$6:J$159)</f>
        <v>14</v>
      </c>
      <c r="J9" s="112">
        <f>SUMIF('Таблица общая'!$A$6:$A$159,"5",'Таблица общая'!K$6:K$159)</f>
        <v>0</v>
      </c>
      <c r="K9" s="112">
        <f>SUMIF('Таблица общая'!$A$6:$A$159,"5",'Таблица общая'!L$6:L$159)</f>
        <v>1</v>
      </c>
      <c r="L9" s="112">
        <f>SUMIF('Таблица общая'!$A$6:$A$159,"5",'Таблица общая'!M$6:M$159)</f>
        <v>0</v>
      </c>
      <c r="M9" s="115">
        <f t="shared" si="0"/>
        <v>3.7073170731707319</v>
      </c>
      <c r="N9" s="116">
        <f t="shared" si="1"/>
        <v>0.97560975609756095</v>
      </c>
      <c r="O9" s="116">
        <f t="shared" si="2"/>
        <v>0.63414634146341464</v>
      </c>
      <c r="P9" s="116">
        <f t="shared" si="3"/>
        <v>0.5814634146341463</v>
      </c>
      <c r="Q9" s="116">
        <f t="shared" si="4"/>
        <v>0.53658536585365857</v>
      </c>
      <c r="R9" s="115">
        <f>SUMIFS('Таблица общая'!T$6:T$159,'Таблица общая'!A$6:A$159,B9)/COUNTIFS('Таблица общая'!A$6:A$159,B9,'Таблица общая'!A$6:A$159,"&gt;0")</f>
        <v>10.64920634920635</v>
      </c>
    </row>
    <row r="10" spans="1:18">
      <c r="B10" s="113">
        <f>Список!L11</f>
        <v>6</v>
      </c>
      <c r="C10" s="112">
        <f>Список!O11</f>
        <v>2</v>
      </c>
      <c r="D10" s="114" t="str">
        <f>Список!M11</f>
        <v>Бондаренко</v>
      </c>
      <c r="E10" s="114" t="str">
        <f>Список!N11</f>
        <v>Английский язык</v>
      </c>
      <c r="F10" s="112">
        <f>SUMIF('Таблица общая'!$A$6:$A$159,"6",'Таблица общая'!G$6:G$159)</f>
        <v>27</v>
      </c>
      <c r="G10" s="112">
        <f>SUMIF('Таблица общая'!$A$6:$A$159,"6",'Таблица общая'!H$6:H$159)</f>
        <v>19</v>
      </c>
      <c r="H10" s="112">
        <f>SUMIF('Таблица общая'!$A$6:$A$159,"6",'Таблица общая'!I$6:I$159)</f>
        <v>8</v>
      </c>
      <c r="I10" s="112">
        <f>SUMIF('Таблица общая'!$A$6:$A$159,"6",'Таблица общая'!J$6:J$159)</f>
        <v>0</v>
      </c>
      <c r="J10" s="112">
        <f>SUMIF('Таблица общая'!$A$6:$A$159,"6",'Таблица общая'!K$6:K$159)</f>
        <v>0</v>
      </c>
      <c r="K10" s="112">
        <f>SUMIF('Таблица общая'!$A$6:$A$159,"6",'Таблица общая'!L$6:L$159)</f>
        <v>0</v>
      </c>
      <c r="L10" s="112">
        <f>SUMIF('Таблица общая'!$A$6:$A$159,"6",'Таблица общая'!M$6:M$159)</f>
        <v>0</v>
      </c>
      <c r="M10" s="115">
        <f t="shared" si="0"/>
        <v>4.7037037037037033</v>
      </c>
      <c r="N10" s="116">
        <f t="shared" si="1"/>
        <v>1</v>
      </c>
      <c r="O10" s="116">
        <f t="shared" si="2"/>
        <v>1</v>
      </c>
      <c r="P10" s="116">
        <f t="shared" si="3"/>
        <v>0.89333333333333342</v>
      </c>
      <c r="Q10" s="116">
        <f t="shared" si="4"/>
        <v>0.94074074074074077</v>
      </c>
      <c r="R10" s="115">
        <f>SUMIFS('Таблица общая'!T$6:T$159,'Таблица общая'!A$6:A$159,B10)/COUNTIFS('Таблица общая'!A$6:A$159,B10,'Таблица общая'!A$6:A$159,"&gt;0")</f>
        <v>15.703703703703702</v>
      </c>
    </row>
    <row r="11" spans="1:18">
      <c r="B11" s="113">
        <f>Список!L12</f>
        <v>7</v>
      </c>
      <c r="C11" s="112">
        <f>Список!O12</f>
        <v>2</v>
      </c>
      <c r="D11" s="114" t="str">
        <f>Список!M12</f>
        <v>Борисова М. А.</v>
      </c>
      <c r="E11" s="114" t="str">
        <f>Список!N12</f>
        <v>Английский язык</v>
      </c>
      <c r="F11" s="112">
        <f>SUMIF('Таблица общая'!$A$6:$A$159,"7",'Таблица общая'!G$6:G$159)</f>
        <v>27</v>
      </c>
      <c r="G11" s="112">
        <f>SUMIF('Таблица общая'!$A$6:$A$159,"7",'Таблица общая'!H$6:H$159)</f>
        <v>11</v>
      </c>
      <c r="H11" s="112">
        <f>SUMIF('Таблица общая'!$A$6:$A$159,"7",'Таблица общая'!I$6:I$159)</f>
        <v>13</v>
      </c>
      <c r="I11" s="112">
        <f>SUMIF('Таблица общая'!$A$6:$A$159,"7",'Таблица общая'!J$6:J$159)</f>
        <v>3</v>
      </c>
      <c r="J11" s="112">
        <f>SUMIF('Таблица общая'!$A$6:$A$159,"7",'Таблица общая'!K$6:K$159)</f>
        <v>0</v>
      </c>
      <c r="K11" s="112">
        <f>SUMIF('Таблица общая'!$A$6:$A$159,"7",'Таблица общая'!L$6:L$159)</f>
        <v>0</v>
      </c>
      <c r="L11" s="112">
        <f>SUMIF('Таблица общая'!$A$6:$A$159,"7",'Таблица общая'!M$6:M$159)</f>
        <v>0</v>
      </c>
      <c r="M11" s="115">
        <f t="shared" si="0"/>
        <v>4.2962962962962967</v>
      </c>
      <c r="N11" s="116">
        <f t="shared" si="1"/>
        <v>1</v>
      </c>
      <c r="O11" s="116">
        <f t="shared" si="2"/>
        <v>0.88888888888888884</v>
      </c>
      <c r="P11" s="116">
        <f t="shared" si="3"/>
        <v>0.75555555555555554</v>
      </c>
      <c r="Q11" s="116">
        <f t="shared" si="4"/>
        <v>0.79259259259259263</v>
      </c>
      <c r="R11" s="115">
        <f>SUMIFS('Таблица общая'!T$6:T$159,'Таблица общая'!A$6:A$159,B11)/COUNTIFS('Таблица общая'!A$6:A$159,B11,'Таблица общая'!A$6:A$159,"&gt;0")</f>
        <v>4.2962962962962967</v>
      </c>
    </row>
    <row r="12" spans="1:18">
      <c r="B12" s="113">
        <f>Список!L13</f>
        <v>8</v>
      </c>
      <c r="C12" s="112">
        <f>Список!O13</f>
        <v>9</v>
      </c>
      <c r="D12" s="114" t="str">
        <f>Список!M13</f>
        <v>Ващенко Л. Ю.</v>
      </c>
      <c r="E12" s="114" t="str">
        <f>Список!N13</f>
        <v>Математика НШ</v>
      </c>
      <c r="F12" s="112">
        <f>SUMIF('Таблица общая'!$A$6:$A$159,"8",'Таблица общая'!G$6:G$159)</f>
        <v>27</v>
      </c>
      <c r="G12" s="112">
        <f>SUMIF('Таблица общая'!$A$6:$A$159,"8",'Таблица общая'!H$6:H$159)</f>
        <v>11</v>
      </c>
      <c r="H12" s="112">
        <f>SUMIF('Таблица общая'!$A$6:$A$159,"8",'Таблица общая'!I$6:I$159)</f>
        <v>16</v>
      </c>
      <c r="I12" s="112">
        <f>SUMIF('Таблица общая'!$A$6:$A$159,"8",'Таблица общая'!J$6:J$159)</f>
        <v>0</v>
      </c>
      <c r="J12" s="112">
        <f>SUMIF('Таблица общая'!$A$6:$A$159,"8",'Таблица общая'!K$6:K$159)</f>
        <v>0</v>
      </c>
      <c r="K12" s="112">
        <f>SUMIF('Таблица общая'!$A$6:$A$159,"8",'Таблица общая'!L$6:L$159)</f>
        <v>0</v>
      </c>
      <c r="L12" s="112">
        <f>SUMIF('Таблица общая'!$A$6:$A$159,"8",'Таблица общая'!M$6:M$159)</f>
        <v>0</v>
      </c>
      <c r="M12" s="115">
        <f t="shared" si="0"/>
        <v>4.4074074074074074</v>
      </c>
      <c r="N12" s="116">
        <f t="shared" si="1"/>
        <v>1</v>
      </c>
      <c r="O12" s="116">
        <f t="shared" si="2"/>
        <v>1</v>
      </c>
      <c r="P12" s="116">
        <f t="shared" si="3"/>
        <v>0.78666666666666674</v>
      </c>
      <c r="Q12" s="116">
        <f t="shared" si="4"/>
        <v>0.88148148148148153</v>
      </c>
      <c r="R12" s="115">
        <f>SUMIFS('Таблица общая'!T$6:T$159,'Таблица общая'!A$6:A$159,B12)/COUNTIFS('Таблица общая'!A$6:A$159,B12,'Таблица общая'!A$6:A$159,"&gt;0")</f>
        <v>12.407407407407408</v>
      </c>
    </row>
    <row r="13" spans="1:18">
      <c r="B13" s="113">
        <f>Список!L14</f>
        <v>9</v>
      </c>
      <c r="C13" s="112">
        <f>Список!O14</f>
        <v>9</v>
      </c>
      <c r="D13" s="114" t="str">
        <f>Список!M14</f>
        <v>Ващенко Л. Ю.</v>
      </c>
      <c r="E13" s="114" t="str">
        <f>Список!N14</f>
        <v>Естествознание НШ</v>
      </c>
      <c r="F13" s="112">
        <f>SUMIF('Таблица общая'!$A$6:$A$159,"9",'Таблица общая'!G$6:G$159)</f>
        <v>27</v>
      </c>
      <c r="G13" s="112">
        <f>SUMIF('Таблица общая'!$A$6:$A$159,"9",'Таблица общая'!H$6:H$159)</f>
        <v>6</v>
      </c>
      <c r="H13" s="112">
        <f>SUMIF('Таблица общая'!$A$6:$A$159,"9",'Таблица общая'!I$6:I$159)</f>
        <v>17</v>
      </c>
      <c r="I13" s="112">
        <f>SUMIF('Таблица общая'!$A$6:$A$159,"9",'Таблица общая'!J$6:J$159)</f>
        <v>4</v>
      </c>
      <c r="J13" s="112">
        <f>SUMIF('Таблица общая'!$A$6:$A$159,"9",'Таблица общая'!K$6:K$159)</f>
        <v>0</v>
      </c>
      <c r="K13" s="112">
        <f>SUMIF('Таблица общая'!$A$6:$A$159,"9",'Таблица общая'!L$6:L$159)</f>
        <v>0</v>
      </c>
      <c r="L13" s="112">
        <f>SUMIF('Таблица общая'!$A$6:$A$159,"9",'Таблица общая'!M$6:M$159)</f>
        <v>0</v>
      </c>
      <c r="M13" s="115">
        <f t="shared" si="0"/>
        <v>4.0740740740740744</v>
      </c>
      <c r="N13" s="116">
        <f t="shared" si="1"/>
        <v>1</v>
      </c>
      <c r="O13" s="116">
        <f t="shared" si="2"/>
        <v>0.85185185185185186</v>
      </c>
      <c r="P13" s="116">
        <f t="shared" si="3"/>
        <v>0.67851851851851863</v>
      </c>
      <c r="Q13" s="116">
        <f t="shared" si="4"/>
        <v>0.72592592592592597</v>
      </c>
      <c r="R13" s="115">
        <f>SUMIFS('Таблица общая'!T$6:T$159,'Таблица общая'!A$6:A$159,B13)/COUNTIFS('Таблица общая'!A$6:A$159,B13,'Таблица общая'!A$6:A$159,"&gt;0")</f>
        <v>10.074074074074074</v>
      </c>
    </row>
    <row r="14" spans="1:18">
      <c r="B14" s="113">
        <f>Список!L15</f>
        <v>10</v>
      </c>
      <c r="C14" s="112">
        <f>Список!O15</f>
        <v>9</v>
      </c>
      <c r="D14" s="114" t="str">
        <f>Список!M15</f>
        <v>Ващенко Л. Ю.</v>
      </c>
      <c r="E14" s="114" t="str">
        <f>Список!N15</f>
        <v>Русский язык НШ</v>
      </c>
      <c r="F14" s="112">
        <f>SUMIF('Таблица общая'!$A$6:$A$159,"10",'Таблица общая'!G$6:G$159)</f>
        <v>202</v>
      </c>
      <c r="G14" s="112">
        <f>SUMIF('Таблица общая'!$A$6:$A$159,"10",'Таблица общая'!H$6:H$159)</f>
        <v>87</v>
      </c>
      <c r="H14" s="112">
        <f>SUMIF('Таблица общая'!$A$6:$A$159,"10",'Таблица общая'!I$6:I$159)</f>
        <v>84</v>
      </c>
      <c r="I14" s="112">
        <f>SUMIF('Таблица общая'!$A$6:$A$159,"10",'Таблица общая'!J$6:J$159)</f>
        <v>31</v>
      </c>
      <c r="J14" s="112">
        <f>SUMIF('Таблица общая'!$A$6:$A$159,"10",'Таблица общая'!K$6:K$159)</f>
        <v>0</v>
      </c>
      <c r="K14" s="112">
        <f>SUMIF('Таблица общая'!$A$6:$A$159,"10",'Таблица общая'!L$6:L$159)</f>
        <v>0</v>
      </c>
      <c r="L14" s="112">
        <f>SUMIF('Таблица общая'!$A$6:$A$159,"10",'Таблица общая'!M$6:M$159)</f>
        <v>0</v>
      </c>
      <c r="M14" s="115">
        <f t="shared" si="0"/>
        <v>4.2772277227722775</v>
      </c>
      <c r="N14" s="116">
        <f t="shared" si="1"/>
        <v>1</v>
      </c>
      <c r="O14" s="116">
        <f t="shared" si="2"/>
        <v>0.84653465346534651</v>
      </c>
      <c r="P14" s="116">
        <f t="shared" si="3"/>
        <v>0.75207920792079197</v>
      </c>
      <c r="Q14" s="116">
        <f t="shared" si="4"/>
        <v>0.76336633663366338</v>
      </c>
      <c r="R14" s="115">
        <f>SUMIFS('Таблица общая'!T$6:T$159,'Таблица общая'!A$6:A$159,B14)/COUNTIFS('Таблица общая'!A$6:A$159,B14,'Таблица общая'!A$6:A$159,"&gt;0")</f>
        <v>4.279701680925263</v>
      </c>
    </row>
    <row r="15" spans="1:18">
      <c r="B15" s="113">
        <f>Список!L17</f>
        <v>12</v>
      </c>
      <c r="C15" s="112">
        <f>Список!O17</f>
        <v>9</v>
      </c>
      <c r="D15" s="114" t="str">
        <f>Список!M17</f>
        <v>Гвоздкова О. А.</v>
      </c>
      <c r="E15" s="114" t="str">
        <f>Список!N17</f>
        <v>Литература НШ</v>
      </c>
      <c r="F15" s="112">
        <f>SUMIF('Таблица общая'!$A$6:$A$159,"12",'Таблица общая'!G$6:G$159)</f>
        <v>50</v>
      </c>
      <c r="G15" s="112">
        <f>SUMIF('Таблица общая'!$A$6:$A$159,"12",'Таблица общая'!H$6:H$159)</f>
        <v>26</v>
      </c>
      <c r="H15" s="112">
        <f>SUMIF('Таблица общая'!$A$6:$A$159,"12",'Таблица общая'!I$6:I$159)</f>
        <v>20</v>
      </c>
      <c r="I15" s="112">
        <f>SUMIF('Таблица общая'!$A$6:$A$159,"12",'Таблица общая'!J$6:J$159)</f>
        <v>4</v>
      </c>
      <c r="J15" s="112">
        <f>SUMIF('Таблица общая'!$A$6:$A$159,"12",'Таблица общая'!K$6:K$159)</f>
        <v>0</v>
      </c>
      <c r="K15" s="112">
        <f>SUMIF('Таблица общая'!$A$6:$A$159,"12",'Таблица общая'!L$6:L$159)</f>
        <v>0</v>
      </c>
      <c r="L15" s="112">
        <f>SUMIF('Таблица общая'!$A$6:$A$159,"12",'Таблица общая'!M$6:M$159)</f>
        <v>0</v>
      </c>
      <c r="M15" s="115">
        <f t="shared" si="0"/>
        <v>4.4400000000000004</v>
      </c>
      <c r="N15" s="116">
        <f t="shared" si="1"/>
        <v>1</v>
      </c>
      <c r="O15" s="116">
        <f t="shared" si="2"/>
        <v>0.92</v>
      </c>
      <c r="P15" s="116">
        <f t="shared" si="3"/>
        <v>0.80479999999999985</v>
      </c>
      <c r="Q15" s="116">
        <f t="shared" si="4"/>
        <v>0.84</v>
      </c>
      <c r="R15" s="115">
        <f>SUMIFS('Таблица общая'!T$6:T$159,'Таблица общая'!A$6:A$159,B15)/COUNTIFS('Таблица общая'!A$6:A$159,B15,'Таблица общая'!A$6:A$159,"&gt;0")</f>
        <v>9.4548701298701303</v>
      </c>
    </row>
    <row r="16" spans="1:18">
      <c r="B16" s="113">
        <f>Список!L18</f>
        <v>13</v>
      </c>
      <c r="C16" s="112">
        <f>Список!O18</f>
        <v>9</v>
      </c>
      <c r="D16" s="114" t="str">
        <f>Список!M18</f>
        <v>Гладкая И В</v>
      </c>
      <c r="E16" s="114" t="str">
        <f>Список!N18</f>
        <v>Русский язык НШ</v>
      </c>
      <c r="F16" s="112">
        <f>SUMIF('Таблица общая'!$A$6:$A$159,"13",'Таблица общая'!G$6:G$159)</f>
        <v>14</v>
      </c>
      <c r="G16" s="112">
        <f>SUMIF('Таблица общая'!$A$6:$A$159,"13",'Таблица общая'!H$6:H$159)</f>
        <v>4</v>
      </c>
      <c r="H16" s="112">
        <f>SUMIF('Таблица общая'!$A$6:$A$159,"13",'Таблица общая'!I$6:I$159)</f>
        <v>9</v>
      </c>
      <c r="I16" s="112">
        <f>SUMIF('Таблица общая'!$A$6:$A$159,"13",'Таблица общая'!J$6:J$159)</f>
        <v>1</v>
      </c>
      <c r="J16" s="112">
        <f>SUMIF('Таблица общая'!$A$6:$A$159,"13",'Таблица общая'!K$6:K$159)</f>
        <v>0</v>
      </c>
      <c r="K16" s="112">
        <f>SUMIF('Таблица общая'!$A$6:$A$159,"13",'Таблица общая'!L$6:L$159)</f>
        <v>0</v>
      </c>
      <c r="L16" s="112">
        <f>SUMIF('Таблица общая'!$A$6:$A$159,"13",'Таблица общая'!M$6:M$159)</f>
        <v>0</v>
      </c>
      <c r="M16" s="115">
        <f t="shared" si="0"/>
        <v>4.2142857142857144</v>
      </c>
      <c r="N16" s="116">
        <f t="shared" si="1"/>
        <v>1</v>
      </c>
      <c r="O16" s="116">
        <f t="shared" si="2"/>
        <v>0.9285714285714286</v>
      </c>
      <c r="P16" s="116">
        <f t="shared" si="3"/>
        <v>0.72285714285714275</v>
      </c>
      <c r="Q16" s="116">
        <f t="shared" si="4"/>
        <v>0.8</v>
      </c>
      <c r="R16" s="115">
        <f>SUMIFS('Таблица общая'!T$6:T$159,'Таблица общая'!A$6:A$159,B16)/COUNTIFS('Таблица общая'!A$6:A$159,B16,'Таблица общая'!A$6:A$159,"&gt;0")</f>
        <v>4.2142857142857144</v>
      </c>
    </row>
    <row r="17" spans="2:18">
      <c r="B17" s="113">
        <f>Список!L19</f>
        <v>14</v>
      </c>
      <c r="C17" s="112">
        <f>Список!O19</f>
        <v>9</v>
      </c>
      <c r="D17" s="114" t="str">
        <f>Список!M19</f>
        <v>Гладкая И В</v>
      </c>
      <c r="E17" s="114" t="str">
        <f>Список!N19</f>
        <v>Математика НШ</v>
      </c>
      <c r="F17" s="112">
        <f>SUMIF('Таблица общая'!$A$6:$A$159,"14",'Таблица общая'!G$6:G$159)</f>
        <v>27</v>
      </c>
      <c r="G17" s="112">
        <f>SUMIF('Таблица общая'!$A$6:$A$159,"14",'Таблица общая'!H$6:H$159)</f>
        <v>23</v>
      </c>
      <c r="H17" s="112">
        <f>SUMIF('Таблица общая'!$A$6:$A$159,"14",'Таблица общая'!I$6:I$159)</f>
        <v>3</v>
      </c>
      <c r="I17" s="112">
        <f>SUMIF('Таблица общая'!$A$6:$A$159,"14",'Таблица общая'!J$6:J$159)</f>
        <v>1</v>
      </c>
      <c r="J17" s="112">
        <f>SUMIF('Таблица общая'!$A$6:$A$159,"14",'Таблица общая'!K$6:K$159)</f>
        <v>0</v>
      </c>
      <c r="K17" s="112">
        <f>SUMIF('Таблица общая'!$A$6:$A$159,"14",'Таблица общая'!L$6:L$159)</f>
        <v>0</v>
      </c>
      <c r="L17" s="112">
        <f>SUMIF('Таблица общая'!$A$6:$A$159,"14",'Таблица общая'!M$6:M$159)</f>
        <v>0</v>
      </c>
      <c r="M17" s="115">
        <f t="shared" si="0"/>
        <v>4.8148148148148149</v>
      </c>
      <c r="N17" s="116">
        <f t="shared" si="1"/>
        <v>1</v>
      </c>
      <c r="O17" s="116">
        <f t="shared" si="2"/>
        <v>0.96296296296296291</v>
      </c>
      <c r="P17" s="116">
        <f t="shared" si="3"/>
        <v>0.93629629629629629</v>
      </c>
      <c r="Q17" s="116">
        <f t="shared" si="4"/>
        <v>0.94074074074074077</v>
      </c>
      <c r="R17" s="115">
        <f>SUMIFS('Таблица общая'!T$6:T$159,'Таблица общая'!A$6:A$159,B17)/COUNTIFS('Таблица общая'!A$6:A$159,B17,'Таблица общая'!A$6:A$159,"&gt;0")</f>
        <v>12.814814814814815</v>
      </c>
    </row>
    <row r="18" spans="2:18">
      <c r="B18" s="113">
        <f>Список!L20</f>
        <v>15</v>
      </c>
      <c r="C18" s="112">
        <f>Список!O20</f>
        <v>9</v>
      </c>
      <c r="D18" s="114" t="str">
        <f>Список!M20</f>
        <v>Гладкая И В</v>
      </c>
      <c r="E18" s="114" t="str">
        <f>Список!N20</f>
        <v>Естествознание НШ</v>
      </c>
      <c r="F18" s="112">
        <f>SUMIF('Таблица общая'!$A$6:$A$159,"15",'Таблица общая'!G$6:G$159)</f>
        <v>27</v>
      </c>
      <c r="G18" s="112">
        <f>SUMIF('Таблица общая'!$A$6:$A$159,"15",'Таблица общая'!H$6:H$159)</f>
        <v>14</v>
      </c>
      <c r="H18" s="112">
        <f>SUMIF('Таблица общая'!$A$6:$A$159,"15",'Таблица общая'!I$6:I$159)</f>
        <v>11</v>
      </c>
      <c r="I18" s="112">
        <f>SUMIF('Таблица общая'!$A$6:$A$159,"15",'Таблица общая'!J$6:J$159)</f>
        <v>2</v>
      </c>
      <c r="J18" s="112">
        <f>SUMIF('Таблица общая'!$A$6:$A$159,"15",'Таблица общая'!K$6:K$159)</f>
        <v>0</v>
      </c>
      <c r="K18" s="112">
        <f>SUMIF('Таблица общая'!$A$6:$A$159,"15",'Таблица общая'!L$6:L$159)</f>
        <v>0</v>
      </c>
      <c r="L18" s="112">
        <f>SUMIF('Таблица общая'!$A$6:$A$159,"15",'Таблица общая'!M$6:M$159)</f>
        <v>0</v>
      </c>
      <c r="M18" s="115">
        <f t="shared" si="0"/>
        <v>4.4444444444444446</v>
      </c>
      <c r="N18" s="116">
        <f t="shared" si="1"/>
        <v>1</v>
      </c>
      <c r="O18" s="116">
        <f t="shared" si="2"/>
        <v>0.92592592592592593</v>
      </c>
      <c r="P18" s="116">
        <f t="shared" si="3"/>
        <v>0.80592592592592582</v>
      </c>
      <c r="Q18" s="116">
        <f t="shared" si="4"/>
        <v>0.84444444444444444</v>
      </c>
      <c r="R18" s="115">
        <f>SUMIFS('Таблица общая'!T$6:T$159,'Таблица общая'!A$6:A$159,B18)/COUNTIFS('Таблица общая'!A$6:A$159,B18,'Таблица общая'!A$6:A$159,"&gt;0")</f>
        <v>10.444444444444445</v>
      </c>
    </row>
    <row r="19" spans="2:18">
      <c r="B19" s="113">
        <f>Список!L21</f>
        <v>16</v>
      </c>
      <c r="C19" s="112">
        <f>Список!O21</f>
        <v>9</v>
      </c>
      <c r="D19" s="114" t="str">
        <f>Список!M21</f>
        <v>Гладкая И В</v>
      </c>
      <c r="E19" s="114" t="str">
        <f>Список!N21</f>
        <v>Литература НШ</v>
      </c>
      <c r="F19" s="112">
        <f>SUMIF('Таблица общая'!$A$6:$A$159,"16",'Таблица общая'!G$6:G$159)</f>
        <v>27</v>
      </c>
      <c r="G19" s="112">
        <f>SUMIF('Таблица общая'!$A$6:$A$159,"16",'Таблица общая'!H$6:H$159)</f>
        <v>20</v>
      </c>
      <c r="H19" s="112">
        <f>SUMIF('Таблица общая'!$A$6:$A$159,"16",'Таблица общая'!I$6:I$159)</f>
        <v>7</v>
      </c>
      <c r="I19" s="112">
        <f>SUMIF('Таблица общая'!$A$6:$A$159,"16",'Таблица общая'!J$6:J$159)</f>
        <v>0</v>
      </c>
      <c r="J19" s="112">
        <f>SUMIF('Таблица общая'!$A$6:$A$159,"16",'Таблица общая'!K$6:K$159)</f>
        <v>0</v>
      </c>
      <c r="K19" s="112">
        <f>SUMIF('Таблица общая'!$A$6:$A$159,"16",'Таблица общая'!L$6:L$159)</f>
        <v>0</v>
      </c>
      <c r="L19" s="112">
        <f>SUMIF('Таблица общая'!$A$6:$A$159,"16",'Таблица общая'!M$6:M$159)</f>
        <v>0</v>
      </c>
      <c r="M19" s="115">
        <f t="shared" si="0"/>
        <v>4.7407407407407405</v>
      </c>
      <c r="N19" s="116">
        <f t="shared" si="1"/>
        <v>1</v>
      </c>
      <c r="O19" s="116">
        <f t="shared" si="2"/>
        <v>1</v>
      </c>
      <c r="P19" s="116">
        <f t="shared" si="3"/>
        <v>0.90666666666666673</v>
      </c>
      <c r="Q19" s="116">
        <f t="shared" si="4"/>
        <v>0.94814814814814818</v>
      </c>
      <c r="R19" s="115">
        <f>SUMIFS('Таблица общая'!T$6:T$159,'Таблица общая'!A$6:A$159,B19)/COUNTIFS('Таблица общая'!A$6:A$159,B19,'Таблица общая'!A$6:A$159,"&gt;0")</f>
        <v>9.7407407407407405</v>
      </c>
    </row>
    <row r="20" spans="2:18">
      <c r="B20" s="113">
        <f>Список!L22</f>
        <v>17</v>
      </c>
      <c r="C20" s="112">
        <f>Список!O22</f>
        <v>3</v>
      </c>
      <c r="D20" s="114" t="str">
        <f>Список!M22</f>
        <v>Даниленко И. Н.</v>
      </c>
      <c r="E20" s="114" t="str">
        <f>Список!N22</f>
        <v>Алгебра</v>
      </c>
      <c r="F20" s="112">
        <f>SUMIF('Таблица общая'!$A$6:$A$159,"17",'Таблица общая'!G$6:G$159)</f>
        <v>27</v>
      </c>
      <c r="G20" s="112">
        <f>SUMIF('Таблица общая'!$A$6:$A$159,"17",'Таблица общая'!H$6:H$159)</f>
        <v>4</v>
      </c>
      <c r="H20" s="112">
        <f>SUMIF('Таблица общая'!$A$6:$A$159,"17",'Таблица общая'!I$6:I$159)</f>
        <v>19</v>
      </c>
      <c r="I20" s="112">
        <f>SUMIF('Таблица общая'!$A$6:$A$159,"17",'Таблица общая'!J$6:J$159)</f>
        <v>4</v>
      </c>
      <c r="J20" s="112">
        <f>SUMIF('Таблица общая'!$A$6:$A$159,"17",'Таблица общая'!K$6:K$159)</f>
        <v>0</v>
      </c>
      <c r="K20" s="112">
        <f>SUMIF('Таблица общая'!$A$6:$A$159,"17",'Таблица общая'!L$6:L$159)</f>
        <v>0</v>
      </c>
      <c r="L20" s="112">
        <f>SUMIF('Таблица общая'!$A$6:$A$159,"17",'Таблица общая'!M$6:M$159)</f>
        <v>0</v>
      </c>
      <c r="M20" s="115">
        <f t="shared" si="0"/>
        <v>4</v>
      </c>
      <c r="N20" s="116">
        <f t="shared" si="1"/>
        <v>1</v>
      </c>
      <c r="O20" s="116">
        <f t="shared" si="2"/>
        <v>0.85185185185185186</v>
      </c>
      <c r="P20" s="116">
        <f t="shared" si="3"/>
        <v>0.6518518518518519</v>
      </c>
      <c r="Q20" s="116">
        <f t="shared" si="4"/>
        <v>0.71111111111111114</v>
      </c>
      <c r="R20" s="115">
        <f>SUMIFS('Таблица общая'!T$6:T$159,'Таблица общая'!A$6:A$159,B20)/COUNTIFS('Таблица общая'!A$6:A$159,B20,'Таблица общая'!A$6:A$159,"&gt;0")</f>
        <v>4</v>
      </c>
    </row>
    <row r="21" spans="2:18">
      <c r="B21" s="113">
        <f>Список!L23</f>
        <v>18</v>
      </c>
      <c r="C21" s="112">
        <f>Список!O23</f>
        <v>3</v>
      </c>
      <c r="D21" s="114" t="str">
        <f>Список!M23</f>
        <v>Даниленко И. Н.</v>
      </c>
      <c r="E21" s="114" t="str">
        <f>Список!N23</f>
        <v>Информатика</v>
      </c>
      <c r="F21" s="112">
        <f>SUMIF('Таблица общая'!$A$6:$A$159,"18",'Таблица общая'!G$6:G$159)</f>
        <v>140</v>
      </c>
      <c r="G21" s="112">
        <f>SUMIF('Таблица общая'!$A$6:$A$159,"18",'Таблица общая'!H$6:H$159)</f>
        <v>37</v>
      </c>
      <c r="H21" s="112">
        <f>SUMIF('Таблица общая'!$A$6:$A$159,"18",'Таблица общая'!I$6:I$159)</f>
        <v>73</v>
      </c>
      <c r="I21" s="112">
        <f>SUMIF('Таблица общая'!$A$6:$A$159,"18",'Таблица общая'!J$6:J$159)</f>
        <v>30</v>
      </c>
      <c r="J21" s="112">
        <f>SUMIF('Таблица общая'!$A$6:$A$159,"18",'Таблица общая'!K$6:K$159)</f>
        <v>0</v>
      </c>
      <c r="K21" s="112">
        <f>SUMIF('Таблица общая'!$A$6:$A$159,"18",'Таблица общая'!L$6:L$159)</f>
        <v>0</v>
      </c>
      <c r="L21" s="112">
        <f>SUMIF('Таблица общая'!$A$6:$A$159,"18",'Таблица общая'!M$6:M$159)</f>
        <v>0</v>
      </c>
      <c r="M21" s="115">
        <f t="shared" si="0"/>
        <v>4.05</v>
      </c>
      <c r="N21" s="116">
        <f t="shared" si="1"/>
        <v>1</v>
      </c>
      <c r="O21" s="116">
        <f t="shared" si="2"/>
        <v>0.7857142857142857</v>
      </c>
      <c r="P21" s="116">
        <f t="shared" si="3"/>
        <v>0.67514285714285716</v>
      </c>
      <c r="Q21" s="116">
        <f t="shared" si="4"/>
        <v>0.68142857142857138</v>
      </c>
      <c r="R21" s="115">
        <f>SUMIFS('Таблица общая'!T$6:T$159,'Таблица общая'!A$6:A$159,B21)/COUNTIFS('Таблица общая'!A$6:A$159,B21,'Таблица общая'!A$6:A$159,"&gt;0")</f>
        <v>9.2446417624521082</v>
      </c>
    </row>
    <row r="22" spans="2:18">
      <c r="B22" s="113">
        <f>Список!L24</f>
        <v>19</v>
      </c>
      <c r="C22" s="112">
        <f>Список!O24</f>
        <v>1</v>
      </c>
      <c r="D22" s="114" t="str">
        <f>Список!M24</f>
        <v>Зайцева Н. А.</v>
      </c>
      <c r="E22" s="114" t="str">
        <f>Список!N24</f>
        <v>Русский язык</v>
      </c>
      <c r="F22" s="112">
        <f>SUMIF('Таблица общая'!$A$6:$A$159,"19",'Таблица общая'!G$6:G$159)</f>
        <v>25</v>
      </c>
      <c r="G22" s="112">
        <f>SUMIF('Таблица общая'!$A$6:$A$159,"19",'Таблица общая'!H$6:H$159)</f>
        <v>6</v>
      </c>
      <c r="H22" s="112">
        <f>SUMIF('Таблица общая'!$A$6:$A$159,"19",'Таблица общая'!I$6:I$159)</f>
        <v>15</v>
      </c>
      <c r="I22" s="112">
        <f>SUMIF('Таблица общая'!$A$6:$A$159,"19",'Таблица общая'!J$6:J$159)</f>
        <v>4</v>
      </c>
      <c r="J22" s="112">
        <f>SUMIF('Таблица общая'!$A$6:$A$159,"19",'Таблица общая'!K$6:K$159)</f>
        <v>0</v>
      </c>
      <c r="K22" s="112">
        <f>SUMIF('Таблица общая'!$A$6:$A$159,"19",'Таблица общая'!L$6:L$159)</f>
        <v>0</v>
      </c>
      <c r="L22" s="112">
        <f>SUMIF('Таблица общая'!$A$6:$A$159,"19",'Таблица общая'!M$6:M$159)</f>
        <v>0</v>
      </c>
      <c r="M22" s="115">
        <f t="shared" si="0"/>
        <v>4.08</v>
      </c>
      <c r="N22" s="116">
        <f t="shared" si="1"/>
        <v>1</v>
      </c>
      <c r="O22" s="116">
        <f t="shared" si="2"/>
        <v>0.84</v>
      </c>
      <c r="P22" s="116">
        <f t="shared" si="3"/>
        <v>0.68159999999999998</v>
      </c>
      <c r="Q22" s="116">
        <f t="shared" si="4"/>
        <v>0.72</v>
      </c>
      <c r="R22" s="115">
        <f>SUMIFS('Таблица общая'!T$6:T$159,'Таблица общая'!A$6:A$159,B22)/COUNTIFS('Таблица общая'!A$6:A$159,B22,'Таблица общая'!A$6:A$159,"&gt;0")</f>
        <v>13.566666666666666</v>
      </c>
    </row>
    <row r="23" spans="2:18">
      <c r="B23" s="113">
        <f>Список!L26</f>
        <v>21</v>
      </c>
      <c r="C23" s="112">
        <f>Список!O26</f>
        <v>3</v>
      </c>
      <c r="D23" s="114" t="str">
        <f>Список!M26</f>
        <v>Каменская Н. В.</v>
      </c>
      <c r="E23" s="114" t="str">
        <f>Список!N26</f>
        <v>Алгебра</v>
      </c>
      <c r="F23" s="112">
        <f>SUMIF('Таблица общая'!$A$6:$A$159,"21",'Таблица общая'!G$6:G$159)</f>
        <v>43</v>
      </c>
      <c r="G23" s="112">
        <f>SUMIF('Таблица общая'!$A$6:$A$159,"21",'Таблица общая'!H$6:H$159)</f>
        <v>6</v>
      </c>
      <c r="H23" s="112">
        <f>SUMIF('Таблица общая'!$A$6:$A$159,"21",'Таблица общая'!I$6:I$159)</f>
        <v>15</v>
      </c>
      <c r="I23" s="112">
        <f>SUMIF('Таблица общая'!$A$6:$A$159,"21",'Таблица общая'!J$6:J$159)</f>
        <v>21</v>
      </c>
      <c r="J23" s="112">
        <f>SUMIF('Таблица общая'!$A$6:$A$159,"21",'Таблица общая'!K$6:K$159)</f>
        <v>1</v>
      </c>
      <c r="K23" s="112">
        <f>SUMIF('Таблица общая'!$A$6:$A$159,"21",'Таблица общая'!L$6:L$159)</f>
        <v>0</v>
      </c>
      <c r="L23" s="112">
        <f>SUMIF('Таблица общая'!$A$6:$A$159,"21",'Таблица общая'!M$6:M$159)</f>
        <v>0</v>
      </c>
      <c r="M23" s="115">
        <f t="shared" si="0"/>
        <v>3.6046511627906979</v>
      </c>
      <c r="N23" s="116">
        <f t="shared" si="1"/>
        <v>0.97674418604651159</v>
      </c>
      <c r="O23" s="116">
        <f t="shared" si="2"/>
        <v>0.48837209302325579</v>
      </c>
      <c r="P23" s="116">
        <f t="shared" si="3"/>
        <v>0.54232558139534881</v>
      </c>
      <c r="Q23" s="116">
        <f t="shared" si="4"/>
        <v>0.41860465116279072</v>
      </c>
      <c r="R23" s="115">
        <f>SUMIFS('Таблица общая'!T$6:T$159,'Таблица общая'!A$6:A$159,B23)/COUNTIFS('Таблица общая'!A$6:A$159,B23,'Таблица общая'!A$6:A$159,"&gt;0")</f>
        <v>9.5402472527472515</v>
      </c>
    </row>
    <row r="24" spans="2:18">
      <c r="B24" s="113">
        <f>Список!L28</f>
        <v>23</v>
      </c>
      <c r="C24" s="112">
        <f>Список!O28</f>
        <v>9</v>
      </c>
      <c r="D24" s="114" t="str">
        <f>Список!M28</f>
        <v>Касьянова Н. А.</v>
      </c>
      <c r="E24" s="114" t="str">
        <f>Список!N28</f>
        <v>Литература НШ</v>
      </c>
      <c r="F24" s="112">
        <f>SUMIF('Таблица общая'!$A$6:$A$159,"23",'Таблица общая'!G$6:G$159)</f>
        <v>59</v>
      </c>
      <c r="G24" s="112">
        <f>SUMIF('Таблица общая'!$A$6:$A$159,"23",'Таблица общая'!H$6:H$159)</f>
        <v>21</v>
      </c>
      <c r="H24" s="112">
        <f>SUMIF('Таблица общая'!$A$6:$A$159,"23",'Таблица общая'!I$6:I$159)</f>
        <v>25</v>
      </c>
      <c r="I24" s="112">
        <f>SUMIF('Таблица общая'!$A$6:$A$159,"23",'Таблица общая'!J$6:J$159)</f>
        <v>13</v>
      </c>
      <c r="J24" s="112">
        <f>SUMIF('Таблица общая'!$A$6:$A$159,"23",'Таблица общая'!K$6:K$159)</f>
        <v>0</v>
      </c>
      <c r="K24" s="112">
        <f>SUMIF('Таблица общая'!$A$6:$A$159,"23",'Таблица общая'!L$6:L$159)</f>
        <v>0</v>
      </c>
      <c r="L24" s="112">
        <f>SUMIF('Таблица общая'!$A$6:$A$159,"23",'Таблица общая'!M$6:M$159)</f>
        <v>0</v>
      </c>
      <c r="M24" s="115">
        <f t="shared" si="0"/>
        <v>4.1355932203389827</v>
      </c>
      <c r="N24" s="116">
        <f t="shared" si="1"/>
        <v>1</v>
      </c>
      <c r="O24" s="116">
        <f t="shared" si="2"/>
        <v>0.77966101694915257</v>
      </c>
      <c r="P24" s="116">
        <f t="shared" si="3"/>
        <v>0.70644067796610166</v>
      </c>
      <c r="Q24" s="116">
        <f t="shared" si="4"/>
        <v>0.69491525423728817</v>
      </c>
      <c r="R24" s="115">
        <f>SUMIFS('Таблица общая'!T$6:T$159,'Таблица общая'!A$6:A$159,B24)/COUNTIFS('Таблица общая'!A$6:A$159,B24,'Таблица общая'!A$6:A$159,"&gt;0")</f>
        <v>4.1510416666666661</v>
      </c>
    </row>
    <row r="25" spans="2:18">
      <c r="B25" s="113">
        <f>Список!L30</f>
        <v>25</v>
      </c>
      <c r="C25" s="112">
        <f>Список!O30</f>
        <v>9</v>
      </c>
      <c r="D25" s="114" t="str">
        <f>Список!M30</f>
        <v>Касьянова Н. А.</v>
      </c>
      <c r="E25" s="114" t="str">
        <f>Список!N30</f>
        <v>Естествознание НШ</v>
      </c>
      <c r="F25" s="112">
        <f>SUMIF('Таблица общая'!$A$6:$A$159,"25",'Таблица общая'!G$6:G$159)</f>
        <v>59</v>
      </c>
      <c r="G25" s="112">
        <f>SUMIF('Таблица общая'!$A$6:$A$159,"25",'Таблица общая'!H$6:H$159)</f>
        <v>5</v>
      </c>
      <c r="H25" s="112">
        <f>SUMIF('Таблица общая'!$A$6:$A$159,"25",'Таблица общая'!I$6:I$159)</f>
        <v>33</v>
      </c>
      <c r="I25" s="112">
        <f>SUMIF('Таблица общая'!$A$6:$A$159,"25",'Таблица общая'!J$6:J$159)</f>
        <v>21</v>
      </c>
      <c r="J25" s="112">
        <f>SUMIF('Таблица общая'!$A$6:$A$159,"25",'Таблица общая'!K$6:K$159)</f>
        <v>0</v>
      </c>
      <c r="K25" s="112">
        <f>SUMIF('Таблица общая'!$A$6:$A$159,"25",'Таблица общая'!L$6:L$159)</f>
        <v>0</v>
      </c>
      <c r="L25" s="112">
        <f>SUMIF('Таблица общая'!$A$6:$A$159,"25",'Таблица общая'!M$6:M$159)</f>
        <v>0</v>
      </c>
      <c r="M25" s="115">
        <f t="shared" si="0"/>
        <v>3.7288135593220337</v>
      </c>
      <c r="N25" s="116">
        <f t="shared" si="1"/>
        <v>1</v>
      </c>
      <c r="O25" s="116">
        <f t="shared" si="2"/>
        <v>0.64406779661016944</v>
      </c>
      <c r="P25" s="116">
        <f t="shared" si="3"/>
        <v>0.57084745762711864</v>
      </c>
      <c r="Q25" s="116">
        <f t="shared" si="4"/>
        <v>0.53220338983050852</v>
      </c>
      <c r="R25" s="115">
        <f>SUMIFS('Таблица общая'!T$6:T$159,'Таблица общая'!A$6:A$159,B25)/COUNTIFS('Таблица общая'!A$6:A$159,B25,'Таблица общая'!A$6:A$159,"&gt;0")</f>
        <v>3.7181712962962963</v>
      </c>
    </row>
    <row r="26" spans="2:18">
      <c r="B26" s="113">
        <f>Список!L31</f>
        <v>26</v>
      </c>
      <c r="C26" s="112">
        <f>Список!O31</f>
        <v>1</v>
      </c>
      <c r="D26" s="114" t="str">
        <f>Список!M31</f>
        <v>Клочко А.М.</v>
      </c>
      <c r="E26" s="114" t="str">
        <f>Список!N31</f>
        <v>Русский язык</v>
      </c>
      <c r="F26" s="112">
        <f>SUMIF('Таблица общая'!$A$6:$A$159,"26",'Таблица общая'!G$6:G$159)</f>
        <v>159</v>
      </c>
      <c r="G26" s="112">
        <f>SUMIF('Таблица общая'!$A$6:$A$159,"26",'Таблица общая'!H$6:H$159)</f>
        <v>38</v>
      </c>
      <c r="H26" s="112">
        <f>SUMIF('Таблица общая'!$A$6:$A$159,"26",'Таблица общая'!I$6:I$159)</f>
        <v>56</v>
      </c>
      <c r="I26" s="112">
        <f>SUMIF('Таблица общая'!$A$6:$A$159,"26",'Таблица общая'!J$6:J$159)</f>
        <v>65</v>
      </c>
      <c r="J26" s="112">
        <f>SUMIF('Таблица общая'!$A$6:$A$159,"26",'Таблица общая'!K$6:K$159)</f>
        <v>0</v>
      </c>
      <c r="K26" s="112">
        <f>SUMIF('Таблица общая'!$A$6:$A$159,"26",'Таблица общая'!L$6:L$159)</f>
        <v>0</v>
      </c>
      <c r="L26" s="112">
        <f>SUMIF('Таблица общая'!$A$6:$A$159,"26",'Таблица общая'!M$6:M$159)</f>
        <v>0</v>
      </c>
      <c r="M26" s="115">
        <f t="shared" si="0"/>
        <v>3.8301886792452828</v>
      </c>
      <c r="N26" s="116">
        <f t="shared" si="1"/>
        <v>1</v>
      </c>
      <c r="O26" s="116">
        <f t="shared" si="2"/>
        <v>0.5911949685534591</v>
      </c>
      <c r="P26" s="116">
        <f t="shared" si="3"/>
        <v>0.6115723270440252</v>
      </c>
      <c r="Q26" s="116">
        <f t="shared" si="4"/>
        <v>0.52075471698113207</v>
      </c>
      <c r="R26" s="115">
        <f>SUMIFS('Таблица общая'!T$6:T$159,'Таблица общая'!A$6:A$159,B26)/COUNTIFS('Таблица общая'!A$6:A$159,B26,'Таблица общая'!A$6:A$159,"&gt;0")</f>
        <v>12.802548023871553</v>
      </c>
    </row>
    <row r="27" spans="2:18">
      <c r="B27" s="113">
        <f>Список!L33</f>
        <v>28</v>
      </c>
      <c r="C27" s="112">
        <f>Список!O33</f>
        <v>1</v>
      </c>
      <c r="D27" s="114" t="str">
        <f>Список!M33</f>
        <v>Кожанова О. В.</v>
      </c>
      <c r="E27" s="114" t="str">
        <f>Список!N33</f>
        <v>Русский язык</v>
      </c>
      <c r="F27" s="112">
        <f>SUMIF('Таблица общая'!$A$6:$A$159,"28",'Таблица общая'!G$6:G$159)</f>
        <v>54</v>
      </c>
      <c r="G27" s="112">
        <f>SUMIF('Таблица общая'!$A$6:$A$159,"28",'Таблица общая'!H$6:H$159)</f>
        <v>22</v>
      </c>
      <c r="H27" s="112">
        <f>SUMIF('Таблица общая'!$A$6:$A$159,"28",'Таблица общая'!I$6:I$159)</f>
        <v>22</v>
      </c>
      <c r="I27" s="112">
        <f>SUMIF('Таблица общая'!$A$6:$A$159,"28",'Таблица общая'!J$6:J$159)</f>
        <v>10</v>
      </c>
      <c r="J27" s="112">
        <f>SUMIF('Таблица общая'!$A$6:$A$159,"28",'Таблица общая'!K$6:K$159)</f>
        <v>0</v>
      </c>
      <c r="K27" s="112">
        <f>SUMIF('Таблица общая'!$A$6:$A$159,"28",'Таблица общая'!L$6:L$159)</f>
        <v>0</v>
      </c>
      <c r="L27" s="112">
        <f>SUMIF('Таблица общая'!$A$6:$A$159,"28",'Таблица общая'!M$6:M$159)</f>
        <v>0</v>
      </c>
      <c r="M27" s="115">
        <f t="shared" ref="M27:M70" si="5">(5*G27+4*H27+3*I27+2*J27)/(F27-L27)</f>
        <v>4.2222222222222223</v>
      </c>
      <c r="N27" s="116">
        <f t="shared" ref="N27:N70" si="6">(SUM(G27:I27)/(F27-L27))</f>
        <v>1</v>
      </c>
      <c r="O27" s="116">
        <f t="shared" ref="O27:O70" si="7">(SUM(G27:H27)/(F27-L27))</f>
        <v>0.81481481481481477</v>
      </c>
      <c r="P27" s="116">
        <f t="shared" ref="P27:P70" si="8">(G27+H27*0.64+I27*0.36+J27*0.16)/(F27-L27)</f>
        <v>0.73481481481481481</v>
      </c>
      <c r="Q27" s="116">
        <f t="shared" ref="Q27:Q70" si="9">(5*G27+4*H27)/((F27-L27)*5)</f>
        <v>0.73333333333333328</v>
      </c>
      <c r="R27" s="115">
        <f>SUMIFS('Таблица общая'!T$6:T$159,'Таблица общая'!A$6:A$159,B27)/COUNTIFS('Таблица общая'!A$6:A$159,B27,'Таблица общая'!A$6:A$159,"&gt;0")</f>
        <v>13.726648351648352</v>
      </c>
    </row>
    <row r="28" spans="2:18">
      <c r="B28" s="113">
        <f>Список!L36</f>
        <v>31</v>
      </c>
      <c r="C28" s="112">
        <f>Список!O36</f>
        <v>3</v>
      </c>
      <c r="D28" s="114" t="str">
        <f>Список!M36</f>
        <v xml:space="preserve">Кузнецова Н. М. </v>
      </c>
      <c r="E28" s="114" t="str">
        <f>Список!N36</f>
        <v>Алгебра</v>
      </c>
      <c r="F28" s="112">
        <f>SUMIF('Таблица общая'!$A$6:$A$159,"31",'Таблица общая'!G$6:G$159)</f>
        <v>39</v>
      </c>
      <c r="G28" s="112">
        <f>SUMIF('Таблица общая'!$A$6:$A$159,"31",'Таблица общая'!H$6:H$159)</f>
        <v>4</v>
      </c>
      <c r="H28" s="112">
        <f>SUMIF('Таблица общая'!$A$6:$A$159,"31",'Таблица общая'!I$6:I$159)</f>
        <v>12</v>
      </c>
      <c r="I28" s="112">
        <f>SUMIF('Таблица общая'!$A$6:$A$159,"31",'Таблица общая'!J$6:J$159)</f>
        <v>23</v>
      </c>
      <c r="J28" s="112">
        <f>SUMIF('Таблица общая'!$A$6:$A$159,"31",'Таблица общая'!K$6:K$159)</f>
        <v>0</v>
      </c>
      <c r="K28" s="112">
        <f>SUMIF('Таблица общая'!$A$6:$A$159,"31",'Таблица общая'!L$6:L$159)</f>
        <v>0</v>
      </c>
      <c r="L28" s="112">
        <f>SUMIF('Таблица общая'!$A$6:$A$159,"31",'Таблица общая'!M$6:M$159)</f>
        <v>0</v>
      </c>
      <c r="M28" s="115">
        <f t="shared" si="5"/>
        <v>3.5128205128205128</v>
      </c>
      <c r="N28" s="116">
        <f t="shared" si="6"/>
        <v>1</v>
      </c>
      <c r="O28" s="116">
        <f t="shared" si="7"/>
        <v>0.41025641025641024</v>
      </c>
      <c r="P28" s="116">
        <f t="shared" si="8"/>
        <v>0.51179487179487182</v>
      </c>
      <c r="Q28" s="116">
        <f t="shared" si="9"/>
        <v>0.3487179487179487</v>
      </c>
      <c r="R28" s="115">
        <f>SUMIFS('Таблица общая'!T$6:T$159,'Таблица общая'!A$6:A$159,B28)/COUNTIFS('Таблица общая'!A$6:A$159,B28,'Таблица общая'!A$6:A$159,"&gt;0")</f>
        <v>10.173992673992673</v>
      </c>
    </row>
    <row r="29" spans="2:18">
      <c r="B29" s="113">
        <f>Список!L37</f>
        <v>32</v>
      </c>
      <c r="C29" s="112">
        <f>Список!O37</f>
        <v>3</v>
      </c>
      <c r="D29" s="114" t="str">
        <f>Список!M37</f>
        <v xml:space="preserve">Кузнецова Н.М. </v>
      </c>
      <c r="E29" s="114" t="str">
        <f>Список!N37</f>
        <v>Геометрия</v>
      </c>
      <c r="F29" s="112">
        <f>SUMIF('Таблица общая'!$A$6:$A$159,"32",'Таблица общая'!G$6:G$159)</f>
        <v>30</v>
      </c>
      <c r="G29" s="112">
        <f>SUMIF('Таблица общая'!$A$6:$A$159,"32",'Таблица общая'!H$6:H$159)</f>
        <v>4</v>
      </c>
      <c r="H29" s="112">
        <f>SUMIF('Таблица общая'!$A$6:$A$159,"32",'Таблица общая'!I$6:I$159)</f>
        <v>20</v>
      </c>
      <c r="I29" s="112">
        <f>SUMIF('Таблица общая'!$A$6:$A$159,"32",'Таблица общая'!J$6:J$159)</f>
        <v>6</v>
      </c>
      <c r="J29" s="112">
        <f>SUMIF('Таблица общая'!$A$6:$A$159,"32",'Таблица общая'!K$6:K$159)</f>
        <v>0</v>
      </c>
      <c r="K29" s="112">
        <f>SUMIF('Таблица общая'!$A$6:$A$159,"32",'Таблица общая'!L$6:L$159)</f>
        <v>0</v>
      </c>
      <c r="L29" s="112">
        <f>SUMIF('Таблица общая'!$A$6:$A$159,"32",'Таблица общая'!M$6:M$159)</f>
        <v>0</v>
      </c>
      <c r="M29" s="115">
        <f t="shared" si="5"/>
        <v>3.9333333333333331</v>
      </c>
      <c r="N29" s="116">
        <f t="shared" si="6"/>
        <v>1</v>
      </c>
      <c r="O29" s="116">
        <f t="shared" si="7"/>
        <v>0.8</v>
      </c>
      <c r="P29" s="116">
        <f t="shared" si="8"/>
        <v>0.63200000000000001</v>
      </c>
      <c r="Q29" s="116">
        <f t="shared" si="9"/>
        <v>0.66666666666666663</v>
      </c>
      <c r="R29" s="115">
        <f>SUMIFS('Таблица общая'!T$6:T$159,'Таблица общая'!A$6:A$159,B29)/COUNTIFS('Таблица общая'!A$6:A$159,B29,'Таблица общая'!A$6:A$159,"&gt;0")</f>
        <v>3.9333333333333331</v>
      </c>
    </row>
    <row r="30" spans="2:18">
      <c r="B30" s="113">
        <f>Список!L38</f>
        <v>33</v>
      </c>
      <c r="C30" s="112">
        <f>Список!O38</f>
        <v>3</v>
      </c>
      <c r="D30" s="114" t="str">
        <f>Список!M38</f>
        <v xml:space="preserve">Кузнецова Н.М. </v>
      </c>
      <c r="E30" s="114" t="str">
        <f>Список!N38</f>
        <v>Математика</v>
      </c>
      <c r="F30" s="112">
        <f>SUMIF('Таблица общая'!$A$6:$A$159,"33",'Таблица общая'!G$6:G$159)</f>
        <v>30</v>
      </c>
      <c r="G30" s="112">
        <f>SUMIF('Таблица общая'!$A$6:$A$159,"33",'Таблица общая'!H$6:H$159)</f>
        <v>17</v>
      </c>
      <c r="H30" s="112">
        <f>SUMIF('Таблица общая'!$A$6:$A$159,"33",'Таблица общая'!I$6:I$159)</f>
        <v>13</v>
      </c>
      <c r="I30" s="112">
        <f>SUMIF('Таблица общая'!$A$6:$A$159,"33",'Таблица общая'!J$6:J$159)</f>
        <v>0</v>
      </c>
      <c r="J30" s="112">
        <f>SUMIF('Таблица общая'!$A$6:$A$159,"33",'Таблица общая'!K$6:K$159)</f>
        <v>0</v>
      </c>
      <c r="K30" s="112">
        <f>SUMIF('Таблица общая'!$A$6:$A$159,"33",'Таблица общая'!L$6:L$159)</f>
        <v>0</v>
      </c>
      <c r="L30" s="112">
        <f>SUMIF('Таблица общая'!$A$6:$A$159,"33",'Таблица общая'!M$6:M$159)</f>
        <v>0</v>
      </c>
      <c r="M30" s="115">
        <f t="shared" si="5"/>
        <v>4.5666666666666664</v>
      </c>
      <c r="N30" s="116">
        <f t="shared" si="6"/>
        <v>1</v>
      </c>
      <c r="O30" s="116">
        <f t="shared" si="7"/>
        <v>1</v>
      </c>
      <c r="P30" s="116">
        <f t="shared" si="8"/>
        <v>0.84399999999999997</v>
      </c>
      <c r="Q30" s="116">
        <f t="shared" si="9"/>
        <v>0.91333333333333333</v>
      </c>
      <c r="R30" s="115">
        <f>SUMIFS('Таблица общая'!T$6:T$159,'Таблица общая'!A$6:A$159,B30)/COUNTIFS('Таблица общая'!A$6:A$159,B30,'Таблица общая'!A$6:A$159,"&gt;0")</f>
        <v>4.5666666666666664</v>
      </c>
    </row>
    <row r="31" spans="2:18">
      <c r="B31" s="113">
        <f>Список!L39</f>
        <v>34</v>
      </c>
      <c r="C31" s="112">
        <f>Список!O39</f>
        <v>4</v>
      </c>
      <c r="D31" s="114" t="str">
        <f>Список!M39</f>
        <v>Ланова Н.Ю.</v>
      </c>
      <c r="E31" s="114" t="str">
        <f>Список!N39</f>
        <v>История</v>
      </c>
      <c r="F31" s="112">
        <f>SUMIF('Таблица общая'!$A$6:$A$159,"34",'Таблица общая'!G$6:G$159)</f>
        <v>30</v>
      </c>
      <c r="G31" s="112">
        <f>SUMIF('Таблица общая'!$A$6:$A$159,"34",'Таблица общая'!H$6:H$159)</f>
        <v>4</v>
      </c>
      <c r="H31" s="112">
        <f>SUMIF('Таблица общая'!$A$6:$A$159,"34",'Таблица общая'!I$6:I$159)</f>
        <v>19</v>
      </c>
      <c r="I31" s="112">
        <f>SUMIF('Таблица общая'!$A$6:$A$159,"34",'Таблица общая'!J$6:J$159)</f>
        <v>7</v>
      </c>
      <c r="J31" s="112">
        <f>SUMIF('Таблица общая'!$A$6:$A$159,"34",'Таблица общая'!K$6:K$159)</f>
        <v>0</v>
      </c>
      <c r="K31" s="112">
        <f>SUMIF('Таблица общая'!$A$6:$A$159,"34",'Таблица общая'!L$6:L$159)</f>
        <v>0</v>
      </c>
      <c r="L31" s="112">
        <f>SUMIF('Таблица общая'!$A$6:$A$159,"34",'Таблица общая'!M$6:M$159)</f>
        <v>0</v>
      </c>
      <c r="M31" s="115">
        <f t="shared" si="5"/>
        <v>3.9</v>
      </c>
      <c r="N31" s="116">
        <f t="shared" si="6"/>
        <v>1</v>
      </c>
      <c r="O31" s="116">
        <f t="shared" si="7"/>
        <v>0.76666666666666672</v>
      </c>
      <c r="P31" s="116">
        <f t="shared" si="8"/>
        <v>0.6226666666666667</v>
      </c>
      <c r="Q31" s="116">
        <f t="shared" si="9"/>
        <v>0.64</v>
      </c>
      <c r="R31" s="115">
        <f>SUMIFS('Таблица общая'!T$6:T$159,'Таблица общая'!A$6:A$159,B31)/COUNTIFS('Таблица общая'!A$6:A$159,B31,'Таблица общая'!A$6:A$159,"&gt;0")</f>
        <v>7.9</v>
      </c>
    </row>
    <row r="32" spans="2:18">
      <c r="B32" s="113">
        <f>Список!L40</f>
        <v>35</v>
      </c>
      <c r="C32" s="112">
        <f>Список!O40</f>
        <v>4</v>
      </c>
      <c r="D32" s="114" t="str">
        <f>Список!M40</f>
        <v>Ланова Н.Ю.</v>
      </c>
      <c r="E32" s="114" t="str">
        <f>Список!N40</f>
        <v>Обществознание</v>
      </c>
      <c r="F32" s="112">
        <f>SUMIF('Таблица общая'!$A$6:$A$159,"35",'Таблица общая'!G$6:G$159)</f>
        <v>36</v>
      </c>
      <c r="G32" s="112">
        <f>SUMIF('Таблица общая'!$A$6:$A$159,"35",'Таблица общая'!H$6:H$159)</f>
        <v>12</v>
      </c>
      <c r="H32" s="112">
        <f>SUMIF('Таблица общая'!$A$6:$A$159,"35",'Таблица общая'!I$6:I$159)</f>
        <v>16</v>
      </c>
      <c r="I32" s="112">
        <f>SUMIF('Таблица общая'!$A$6:$A$159,"35",'Таблица общая'!J$6:J$159)</f>
        <v>8</v>
      </c>
      <c r="J32" s="112">
        <f>SUMIF('Таблица общая'!$A$6:$A$159,"35",'Таблица общая'!K$6:K$159)</f>
        <v>0</v>
      </c>
      <c r="K32" s="112">
        <f>SUMIF('Таблица общая'!$A$6:$A$159,"35",'Таблица общая'!L$6:L$159)</f>
        <v>0</v>
      </c>
      <c r="L32" s="112">
        <f>SUMIF('Таблица общая'!$A$6:$A$159,"35",'Таблица общая'!M$6:M$159)</f>
        <v>0</v>
      </c>
      <c r="M32" s="115">
        <f t="shared" si="5"/>
        <v>4.1111111111111107</v>
      </c>
      <c r="N32" s="116">
        <f t="shared" si="6"/>
        <v>1</v>
      </c>
      <c r="O32" s="116">
        <f t="shared" si="7"/>
        <v>0.77777777777777779</v>
      </c>
      <c r="P32" s="116">
        <f t="shared" si="8"/>
        <v>0.69777777777777783</v>
      </c>
      <c r="Q32" s="116">
        <f t="shared" si="9"/>
        <v>0.68888888888888888</v>
      </c>
      <c r="R32" s="115">
        <f>SUMIFS('Таблица общая'!T$6:T$159,'Таблица общая'!A$6:A$159,B32)/COUNTIFS('Таблица общая'!A$6:A$159,B32,'Таблица общая'!A$6:A$159,"&gt;0")</f>
        <v>4.1254856254856263</v>
      </c>
    </row>
    <row r="33" spans="2:18">
      <c r="B33" s="113">
        <f>Список!L41</f>
        <v>36</v>
      </c>
      <c r="C33" s="112">
        <f>Список!O41</f>
        <v>9</v>
      </c>
      <c r="D33" s="114" t="str">
        <f>Список!M41</f>
        <v>Литвинова  А. И.</v>
      </c>
      <c r="E33" s="114" t="str">
        <f>Список!N41</f>
        <v>Литература НШ</v>
      </c>
      <c r="F33" s="112">
        <f>SUMIF('Таблица общая'!$A$6:$A$159,"36",'Таблица общая'!G$6:G$159)</f>
        <v>30</v>
      </c>
      <c r="G33" s="112">
        <f>SUMIF('Таблица общая'!$A$6:$A$159,"36",'Таблица общая'!H$6:H$159)</f>
        <v>5</v>
      </c>
      <c r="H33" s="112">
        <f>SUMIF('Таблица общая'!$A$6:$A$159,"36",'Таблица общая'!I$6:I$159)</f>
        <v>21</v>
      </c>
      <c r="I33" s="112">
        <f>SUMIF('Таблица общая'!$A$6:$A$159,"36",'Таблица общая'!J$6:J$159)</f>
        <v>4</v>
      </c>
      <c r="J33" s="112">
        <f>SUMIF('Таблица общая'!$A$6:$A$159,"36",'Таблица общая'!K$6:K$159)</f>
        <v>0</v>
      </c>
      <c r="K33" s="112">
        <f>SUMIF('Таблица общая'!$A$6:$A$159,"36",'Таблица общая'!L$6:L$159)</f>
        <v>0</v>
      </c>
      <c r="L33" s="112">
        <f>SUMIF('Таблица общая'!$A$6:$A$159,"36",'Таблица общая'!M$6:M$159)</f>
        <v>0</v>
      </c>
      <c r="M33" s="115">
        <f t="shared" si="5"/>
        <v>4.0333333333333332</v>
      </c>
      <c r="N33" s="116">
        <f t="shared" si="6"/>
        <v>1</v>
      </c>
      <c r="O33" s="116">
        <f t="shared" si="7"/>
        <v>0.8666666666666667</v>
      </c>
      <c r="P33" s="116">
        <f t="shared" si="8"/>
        <v>0.66266666666666663</v>
      </c>
      <c r="Q33" s="116">
        <f t="shared" si="9"/>
        <v>0.72666666666666668</v>
      </c>
      <c r="R33" s="115">
        <f>SUMIFS('Таблица общая'!T$6:T$159,'Таблица общая'!A$6:A$159,B33)/COUNTIFS('Таблица общая'!A$6:A$159,B33,'Таблица общая'!A$6:A$159,"&gt;0")</f>
        <v>9.0333333333333332</v>
      </c>
    </row>
    <row r="34" spans="2:18">
      <c r="B34" s="113">
        <f>Список!L42</f>
        <v>37</v>
      </c>
      <c r="C34" s="112">
        <f>Список!O42</f>
        <v>9</v>
      </c>
      <c r="D34" s="114" t="str">
        <f>Список!M42</f>
        <v>Литвинова  А. И.</v>
      </c>
      <c r="E34" s="114" t="str">
        <f>Список!N42</f>
        <v>Математика НШ</v>
      </c>
      <c r="F34" s="112">
        <f>SUMIF('Таблица общая'!$A$6:$A$159,"37",'Таблица общая'!G$6:G$159)</f>
        <v>30</v>
      </c>
      <c r="G34" s="112">
        <f>SUMIF('Таблица общая'!$A$6:$A$159,"37",'Таблица общая'!H$6:H$159)</f>
        <v>18</v>
      </c>
      <c r="H34" s="112">
        <f>SUMIF('Таблица общая'!$A$6:$A$159,"37",'Таблица общая'!I$6:I$159)</f>
        <v>10</v>
      </c>
      <c r="I34" s="112">
        <f>SUMIF('Таблица общая'!$A$6:$A$159,"37",'Таблица общая'!J$6:J$159)</f>
        <v>2</v>
      </c>
      <c r="J34" s="112">
        <f>SUMIF('Таблица общая'!$A$6:$A$159,"37",'Таблица общая'!K$6:K$159)</f>
        <v>0</v>
      </c>
      <c r="K34" s="112">
        <f>SUMIF('Таблица общая'!$A$6:$A$159,"37",'Таблица общая'!L$6:L$159)</f>
        <v>0</v>
      </c>
      <c r="L34" s="112">
        <f>SUMIF('Таблица общая'!$A$6:$A$159,"37",'Таблица общая'!M$6:M$159)</f>
        <v>0</v>
      </c>
      <c r="M34" s="115">
        <f t="shared" si="5"/>
        <v>4.5333333333333332</v>
      </c>
      <c r="N34" s="116">
        <f t="shared" si="6"/>
        <v>1</v>
      </c>
      <c r="O34" s="116">
        <f t="shared" si="7"/>
        <v>0.93333333333333335</v>
      </c>
      <c r="P34" s="116">
        <f t="shared" si="8"/>
        <v>0.83733333333333326</v>
      </c>
      <c r="Q34" s="116">
        <f t="shared" si="9"/>
        <v>0.8666666666666667</v>
      </c>
      <c r="R34" s="115">
        <f>SUMIFS('Таблица общая'!T$6:T$159,'Таблица общая'!A$6:A$159,B34)/COUNTIFS('Таблица общая'!A$6:A$159,B34,'Таблица общая'!A$6:A$159,"&gt;0")</f>
        <v>12.533333333333333</v>
      </c>
    </row>
    <row r="35" spans="2:18">
      <c r="B35" s="113">
        <f>Список!L43</f>
        <v>38</v>
      </c>
      <c r="C35" s="112">
        <f>Список!O43</f>
        <v>9</v>
      </c>
      <c r="D35" s="114" t="str">
        <f>Список!M43</f>
        <v>Литвинова  А. И.</v>
      </c>
      <c r="E35" s="114" t="str">
        <f>Список!N43</f>
        <v>Естествознание НШ</v>
      </c>
      <c r="F35" s="112">
        <f>SUMIF('Таблица общая'!$A$6:$A$159,"38",'Таблица общая'!G$6:G$159)</f>
        <v>30</v>
      </c>
      <c r="G35" s="112">
        <f>SUMIF('Таблица общая'!$A$6:$A$159,"38",'Таблица общая'!H$6:H$159)</f>
        <v>7</v>
      </c>
      <c r="H35" s="112">
        <f>SUMIF('Таблица общая'!$A$6:$A$159,"38",'Таблица общая'!I$6:I$159)</f>
        <v>17</v>
      </c>
      <c r="I35" s="112">
        <f>SUMIF('Таблица общая'!$A$6:$A$159,"38",'Таблица общая'!J$6:J$159)</f>
        <v>6</v>
      </c>
      <c r="J35" s="112">
        <f>SUMIF('Таблица общая'!$A$6:$A$159,"38",'Таблица общая'!K$6:K$159)</f>
        <v>0</v>
      </c>
      <c r="K35" s="112">
        <f>SUMIF('Таблица общая'!$A$6:$A$159,"38",'Таблица общая'!L$6:L$159)</f>
        <v>0</v>
      </c>
      <c r="L35" s="112">
        <f>SUMIF('Таблица общая'!$A$6:$A$159,"38",'Таблица общая'!M$6:M$159)</f>
        <v>0</v>
      </c>
      <c r="M35" s="115">
        <f t="shared" si="5"/>
        <v>4.0333333333333332</v>
      </c>
      <c r="N35" s="116">
        <f t="shared" si="6"/>
        <v>1</v>
      </c>
      <c r="O35" s="116">
        <f t="shared" si="7"/>
        <v>0.8</v>
      </c>
      <c r="P35" s="116">
        <f t="shared" si="8"/>
        <v>0.66800000000000004</v>
      </c>
      <c r="Q35" s="116">
        <f t="shared" si="9"/>
        <v>0.68666666666666665</v>
      </c>
      <c r="R35" s="115">
        <f>SUMIFS('Таблица общая'!T$6:T$159,'Таблица общая'!A$6:A$159,B35)/COUNTIFS('Таблица общая'!A$6:A$159,B35,'Таблица общая'!A$6:A$159,"&gt;0")</f>
        <v>10.033333333333333</v>
      </c>
    </row>
    <row r="36" spans="2:18">
      <c r="B36" s="113">
        <f>Список!L45</f>
        <v>40</v>
      </c>
      <c r="C36" s="112">
        <f>Список!O45</f>
        <v>2</v>
      </c>
      <c r="D36" s="114" t="str">
        <f>Список!M45</f>
        <v>Маслова Е. В.</v>
      </c>
      <c r="E36" s="114" t="str">
        <f>Список!N45</f>
        <v>Английский язык</v>
      </c>
      <c r="F36" s="112">
        <f>SUMIF('Таблица общая'!$A$6:$A$159,"40",'Таблица общая'!G$6:G$159)</f>
        <v>54</v>
      </c>
      <c r="G36" s="112">
        <f>SUMIF('Таблица общая'!$A$6:$A$159,"40",'Таблица общая'!H$6:H$159)</f>
        <v>4</v>
      </c>
      <c r="H36" s="112">
        <f>SUMIF('Таблица общая'!$A$6:$A$159,"40",'Таблица общая'!I$6:I$159)</f>
        <v>38</v>
      </c>
      <c r="I36" s="112">
        <f>SUMIF('Таблица общая'!$A$6:$A$159,"40",'Таблица общая'!J$6:J$159)</f>
        <v>12</v>
      </c>
      <c r="J36" s="112">
        <f>SUMIF('Таблица общая'!$A$6:$A$159,"40",'Таблица общая'!K$6:K$159)</f>
        <v>0</v>
      </c>
      <c r="K36" s="112">
        <f>SUMIF('Таблица общая'!$A$6:$A$159,"40",'Таблица общая'!L$6:L$159)</f>
        <v>0</v>
      </c>
      <c r="L36" s="112">
        <f>SUMIF('Таблица общая'!$A$6:$A$159,"40",'Таблица общая'!M$6:M$159)</f>
        <v>0</v>
      </c>
      <c r="M36" s="115">
        <f t="shared" si="5"/>
        <v>3.8518518518518516</v>
      </c>
      <c r="N36" s="116">
        <f t="shared" si="6"/>
        <v>1</v>
      </c>
      <c r="O36" s="116">
        <f t="shared" si="7"/>
        <v>0.77777777777777779</v>
      </c>
      <c r="P36" s="116">
        <f t="shared" si="8"/>
        <v>0.60444444444444445</v>
      </c>
      <c r="Q36" s="116">
        <f t="shared" si="9"/>
        <v>0.63703703703703707</v>
      </c>
      <c r="R36" s="115">
        <f>SUMIFS('Таблица общая'!T$6:T$159,'Таблица общая'!A$6:A$159,B36)/COUNTIFS('Таблица общая'!A$6:A$159,B36,'Таблица общая'!A$6:A$159,"&gt;0")</f>
        <v>11.851851851851851</v>
      </c>
    </row>
    <row r="37" spans="2:18">
      <c r="B37" s="113">
        <f>Список!L46</f>
        <v>41</v>
      </c>
      <c r="C37" s="112">
        <f>Список!O46</f>
        <v>5</v>
      </c>
      <c r="D37" s="114" t="str">
        <f>Список!M46</f>
        <v>Мельникова Л. Н.</v>
      </c>
      <c r="E37" s="114" t="str">
        <f>Список!N46</f>
        <v>Биология</v>
      </c>
      <c r="F37" s="112">
        <f>SUMIF('Таблица общая'!$A$6:$A$159,"41",'Таблица общая'!G$6:G$159)</f>
        <v>31</v>
      </c>
      <c r="G37" s="112">
        <f>SUMIF('Таблица общая'!$A$6:$A$159,"41",'Таблица общая'!H$6:H$159)</f>
        <v>18</v>
      </c>
      <c r="H37" s="112">
        <f>SUMIF('Таблица общая'!$A$6:$A$159,"41",'Таблица общая'!I$6:I$159)</f>
        <v>12</v>
      </c>
      <c r="I37" s="112">
        <f>SUMIF('Таблица общая'!$A$6:$A$159,"41",'Таблица общая'!J$6:J$159)</f>
        <v>1</v>
      </c>
      <c r="J37" s="112">
        <f>SUMIF('Таблица общая'!$A$6:$A$159,"41",'Таблица общая'!K$6:K$159)</f>
        <v>0</v>
      </c>
      <c r="K37" s="112">
        <f>SUMIF('Таблица общая'!$A$6:$A$159,"41",'Таблица общая'!L$6:L$159)</f>
        <v>0</v>
      </c>
      <c r="L37" s="112">
        <f>SUMIF('Таблица общая'!$A$6:$A$159,"41",'Таблица общая'!M$6:M$159)</f>
        <v>0</v>
      </c>
      <c r="M37" s="115">
        <f t="shared" si="5"/>
        <v>4.5483870967741939</v>
      </c>
      <c r="N37" s="116">
        <f t="shared" si="6"/>
        <v>1</v>
      </c>
      <c r="O37" s="116">
        <f t="shared" si="7"/>
        <v>0.967741935483871</v>
      </c>
      <c r="P37" s="116">
        <f t="shared" si="8"/>
        <v>0.84</v>
      </c>
      <c r="Q37" s="116">
        <f t="shared" si="9"/>
        <v>0.89032258064516134</v>
      </c>
      <c r="R37" s="115">
        <f>SUMIFS('Таблица общая'!T$6:T$159,'Таблица общая'!A$6:A$159,B37)/COUNTIFS('Таблица общая'!A$6:A$159,B37,'Таблица общая'!A$6:A$159,"&gt;0")</f>
        <v>11.548387096774194</v>
      </c>
    </row>
    <row r="38" spans="2:18">
      <c r="B38" s="113">
        <f>Список!L47</f>
        <v>42</v>
      </c>
      <c r="C38" s="112">
        <f>Список!O47</f>
        <v>5</v>
      </c>
      <c r="D38" s="114" t="str">
        <f>Список!M47</f>
        <v>Мельникова Л. Н.</v>
      </c>
      <c r="E38" s="114" t="str">
        <f>Список!N47</f>
        <v>Химия</v>
      </c>
      <c r="F38" s="112">
        <f>SUMIF('Таблица общая'!$A$6:$A$159,"42",'Таблица общая'!G$6:G$159)</f>
        <v>31</v>
      </c>
      <c r="G38" s="112">
        <f>SUMIF('Таблица общая'!$A$6:$A$159,"42",'Таблица общая'!H$6:H$159)</f>
        <v>2</v>
      </c>
      <c r="H38" s="112">
        <f>SUMIF('Таблица общая'!$A$6:$A$159,"42",'Таблица общая'!I$6:I$159)</f>
        <v>23</v>
      </c>
      <c r="I38" s="112">
        <f>SUMIF('Таблица общая'!$A$6:$A$159,"42",'Таблица общая'!J$6:J$159)</f>
        <v>6</v>
      </c>
      <c r="J38" s="112">
        <f>SUMIF('Таблица общая'!$A$6:$A$159,"42",'Таблица общая'!K$6:K$159)</f>
        <v>0</v>
      </c>
      <c r="K38" s="112">
        <f>SUMIF('Таблица общая'!$A$6:$A$159,"42",'Таблица общая'!L$6:L$159)</f>
        <v>0</v>
      </c>
      <c r="L38" s="112">
        <f>SUMIF('Таблица общая'!$A$6:$A$159,"42",'Таблица общая'!M$6:M$159)</f>
        <v>0</v>
      </c>
      <c r="M38" s="115">
        <f t="shared" si="5"/>
        <v>3.870967741935484</v>
      </c>
      <c r="N38" s="116">
        <f t="shared" si="6"/>
        <v>1</v>
      </c>
      <c r="O38" s="116">
        <f t="shared" si="7"/>
        <v>0.80645161290322576</v>
      </c>
      <c r="P38" s="116">
        <f t="shared" si="8"/>
        <v>0.60903225806451611</v>
      </c>
      <c r="Q38" s="116">
        <f t="shared" si="9"/>
        <v>0.65806451612903227</v>
      </c>
      <c r="R38" s="115">
        <f>SUMIFS('Таблица общая'!T$6:T$159,'Таблица общая'!A$6:A$159,B38)/COUNTIFS('Таблица общая'!A$6:A$159,B38,'Таблица общая'!A$6:A$159,"&gt;0")</f>
        <v>3.870967741935484</v>
      </c>
    </row>
    <row r="39" spans="2:18">
      <c r="B39" s="113">
        <f>Список!L48</f>
        <v>43</v>
      </c>
      <c r="C39" s="112">
        <f>Список!O48</f>
        <v>9</v>
      </c>
      <c r="D39" s="114" t="str">
        <f>Список!M48</f>
        <v>Нагорная Н. П.</v>
      </c>
      <c r="E39" s="114" t="str">
        <f>Список!N48</f>
        <v>Литература НШ</v>
      </c>
      <c r="F39" s="112">
        <f>SUMIF('Таблица общая'!$A$6:$A$159,"43",'Таблица общая'!G$6:G$159)</f>
        <v>31</v>
      </c>
      <c r="G39" s="112">
        <f>SUMIF('Таблица общая'!$A$6:$A$159,"43",'Таблица общая'!H$6:H$159)</f>
        <v>9</v>
      </c>
      <c r="H39" s="112">
        <f>SUMIF('Таблица общая'!$A$6:$A$159,"43",'Таблица общая'!I$6:I$159)</f>
        <v>20</v>
      </c>
      <c r="I39" s="112">
        <f>SUMIF('Таблица общая'!$A$6:$A$159,"43",'Таблица общая'!J$6:J$159)</f>
        <v>2</v>
      </c>
      <c r="J39" s="112">
        <f>SUMIF('Таблица общая'!$A$6:$A$159,"43",'Таблица общая'!K$6:K$159)</f>
        <v>0</v>
      </c>
      <c r="K39" s="112">
        <f>SUMIF('Таблица общая'!$A$6:$A$159,"43",'Таблица общая'!L$6:L$159)</f>
        <v>0</v>
      </c>
      <c r="L39" s="112">
        <f>SUMIF('Таблица общая'!$A$6:$A$159,"43",'Таблица общая'!M$6:M$159)</f>
        <v>0</v>
      </c>
      <c r="M39" s="115">
        <f t="shared" si="5"/>
        <v>4.225806451612903</v>
      </c>
      <c r="N39" s="116">
        <f t="shared" si="6"/>
        <v>1</v>
      </c>
      <c r="O39" s="116">
        <f t="shared" si="7"/>
        <v>0.93548387096774188</v>
      </c>
      <c r="P39" s="116">
        <f t="shared" si="8"/>
        <v>0.7264516129032258</v>
      </c>
      <c r="Q39" s="116">
        <f t="shared" si="9"/>
        <v>0.80645161290322576</v>
      </c>
      <c r="R39" s="115">
        <f>SUMIFS('Таблица общая'!T$6:T$159,'Таблица общая'!A$6:A$159,B39)/COUNTIFS('Таблица общая'!A$6:A$159,B39,'Таблица общая'!A$6:A$159,"&gt;0")</f>
        <v>4.225806451612903</v>
      </c>
    </row>
    <row r="40" spans="2:18">
      <c r="B40" s="113">
        <f>Список!L49</f>
        <v>44</v>
      </c>
      <c r="C40" s="112">
        <f>Список!O49</f>
        <v>9</v>
      </c>
      <c r="D40" s="114" t="str">
        <f>Список!M49</f>
        <v>Нагорная Н. П.</v>
      </c>
      <c r="E40" s="114" t="str">
        <f>Список!N49</f>
        <v>Математика НШ</v>
      </c>
      <c r="F40" s="112">
        <f>SUMIF('Таблица общая'!$A$6:$A$159,"44",'Таблица общая'!G$6:G$159)</f>
        <v>31</v>
      </c>
      <c r="G40" s="112">
        <f>SUMIF('Таблица общая'!$A$6:$A$159,"44",'Таблица общая'!H$6:H$159)</f>
        <v>1</v>
      </c>
      <c r="H40" s="112">
        <f>SUMIF('Таблица общая'!$A$6:$A$159,"44",'Таблица общая'!I$6:I$159)</f>
        <v>22</v>
      </c>
      <c r="I40" s="112">
        <f>SUMIF('Таблица общая'!$A$6:$A$159,"44",'Таблица общая'!J$6:J$159)</f>
        <v>8</v>
      </c>
      <c r="J40" s="112">
        <f>SUMIF('Таблица общая'!$A$6:$A$159,"44",'Таблица общая'!K$6:K$159)</f>
        <v>0</v>
      </c>
      <c r="K40" s="112">
        <f>SUMIF('Таблица общая'!$A$6:$A$159,"44",'Таблица общая'!L$6:L$159)</f>
        <v>0</v>
      </c>
      <c r="L40" s="112">
        <f>SUMIF('Таблица общая'!$A$6:$A$159,"44",'Таблица общая'!M$6:M$159)</f>
        <v>0</v>
      </c>
      <c r="M40" s="115">
        <f>(5*G40+4*H40+3*I40+44*J40)/(F40-L40)</f>
        <v>3.774193548387097</v>
      </c>
      <c r="N40" s="116">
        <f t="shared" si="6"/>
        <v>1</v>
      </c>
      <c r="O40" s="116">
        <f t="shared" si="7"/>
        <v>0.74193548387096775</v>
      </c>
      <c r="P40" s="116">
        <f t="shared" si="8"/>
        <v>0.57935483870967741</v>
      </c>
      <c r="Q40" s="116">
        <f t="shared" si="9"/>
        <v>0.6</v>
      </c>
      <c r="R40" s="115">
        <f>SUMIFS('Таблица общая'!T$6:T$159,'Таблица общая'!A$6:A$159,B40)/COUNTIFS('Таблица общая'!A$6:A$159,B40,'Таблица общая'!A$6:A$159,"&gt;0")</f>
        <v>11.774193548387096</v>
      </c>
    </row>
    <row r="41" spans="2:18">
      <c r="B41" s="113">
        <f>Список!L52</f>
        <v>47</v>
      </c>
      <c r="C41" s="112">
        <f>Список!O52</f>
        <v>3</v>
      </c>
      <c r="D41" s="114" t="str">
        <f>Список!M52</f>
        <v>Новикова А. Р.</v>
      </c>
      <c r="E41" s="114" t="str">
        <f>Список!N52</f>
        <v>Геометрия</v>
      </c>
      <c r="F41" s="112">
        <f>SUMIF('Таблица общая'!$A$6:$A$159,"47",'Таблица общая'!G$6:G$159)</f>
        <v>222</v>
      </c>
      <c r="G41" s="112">
        <f>SUMIF('Таблица общая'!$A$6:$A$159,"47",'Таблица общая'!H$6:H$159)</f>
        <v>22</v>
      </c>
      <c r="H41" s="112">
        <f>SUMIF('Таблица общая'!$A$6:$A$159,"47",'Таблица общая'!I$6:I$159)</f>
        <v>58</v>
      </c>
      <c r="I41" s="112">
        <f>SUMIF('Таблица общая'!$A$6:$A$159,"47",'Таблица общая'!J$6:J$159)</f>
        <v>142</v>
      </c>
      <c r="J41" s="112">
        <f>SUMIF('Таблица общая'!$A$6:$A$159,"47",'Таблица общая'!K$6:K$159)</f>
        <v>0</v>
      </c>
      <c r="K41" s="112">
        <f>SUMIF('Таблица общая'!$A$6:$A$159,"47",'Таблица общая'!L$6:L$159)</f>
        <v>0</v>
      </c>
      <c r="L41" s="112">
        <f>SUMIF('Таблица общая'!$A$6:$A$159,"47",'Таблица общая'!M$6:M$159)</f>
        <v>0</v>
      </c>
      <c r="M41" s="115">
        <f t="shared" si="5"/>
        <v>3.4594594594594597</v>
      </c>
      <c r="N41" s="116">
        <f t="shared" si="6"/>
        <v>1</v>
      </c>
      <c r="O41" s="116">
        <f t="shared" si="7"/>
        <v>0.36036036036036034</v>
      </c>
      <c r="P41" s="116">
        <f t="shared" si="8"/>
        <v>0.49657657657657656</v>
      </c>
      <c r="Q41" s="116">
        <f t="shared" si="9"/>
        <v>0.30810810810810813</v>
      </c>
      <c r="R41" s="115">
        <f>SUMIFS('Таблица общая'!T$6:T$159,'Таблица общая'!A$6:A$159,B41)/COUNTIFS('Таблица общая'!A$6:A$159,B41,'Таблица общая'!A$6:A$159,"&gt;0")</f>
        <v>11.907565454147164</v>
      </c>
    </row>
    <row r="42" spans="2:18">
      <c r="B42" s="113">
        <f>Список!L53</f>
        <v>48</v>
      </c>
      <c r="C42" s="112">
        <f>Список!O53</f>
        <v>3</v>
      </c>
      <c r="D42" s="114" t="str">
        <f>Список!M53</f>
        <v>Новикова А. Р.</v>
      </c>
      <c r="E42" s="114" t="str">
        <f>Список!N53</f>
        <v>Математика</v>
      </c>
      <c r="F42" s="112">
        <f>SUMIF('Таблица общая'!$A$6:$A$159,"48",'Таблица общая'!G$6:G$159)</f>
        <v>29</v>
      </c>
      <c r="G42" s="112">
        <f>SUMIF('Таблица общая'!$A$6:$A$159,"48",'Таблица общая'!H$6:H$159)</f>
        <v>10</v>
      </c>
      <c r="H42" s="112">
        <f>SUMIF('Таблица общая'!$A$6:$A$159,"48",'Таблица общая'!I$6:I$159)</f>
        <v>17</v>
      </c>
      <c r="I42" s="112">
        <f>SUMIF('Таблица общая'!$A$6:$A$159,"48",'Таблица общая'!J$6:J$159)</f>
        <v>2</v>
      </c>
      <c r="J42" s="112">
        <f>SUMIF('Таблица общая'!$A$6:$A$159,"48",'Таблица общая'!K$6:K$159)</f>
        <v>0</v>
      </c>
      <c r="K42" s="112">
        <f>SUMIF('Таблица общая'!$A$6:$A$159,"48",'Таблица общая'!L$6:L$159)</f>
        <v>0</v>
      </c>
      <c r="L42" s="112">
        <f>SUMIF('Таблица общая'!$A$6:$A$159,"48",'Таблица общая'!M$6:M$159)</f>
        <v>0</v>
      </c>
      <c r="M42" s="115">
        <f t="shared" si="5"/>
        <v>4.2758620689655169</v>
      </c>
      <c r="N42" s="116">
        <f t="shared" si="6"/>
        <v>1</v>
      </c>
      <c r="O42" s="116">
        <f t="shared" si="7"/>
        <v>0.93103448275862066</v>
      </c>
      <c r="P42" s="116">
        <f t="shared" si="8"/>
        <v>0.7448275862068966</v>
      </c>
      <c r="Q42" s="116">
        <f t="shared" si="9"/>
        <v>0.81379310344827582</v>
      </c>
      <c r="R42" s="115">
        <f>SUMIFS('Таблица общая'!T$6:T$159,'Таблица общая'!A$6:A$159,B42)/COUNTIFS('Таблица общая'!A$6:A$159,B42,'Таблица общая'!A$6:A$159,"&gt;0")</f>
        <v>4.2758620689655169</v>
      </c>
    </row>
    <row r="43" spans="2:18">
      <c r="B43" s="113">
        <f>Список!L54</f>
        <v>49</v>
      </c>
      <c r="C43" s="112">
        <f>Список!O54</f>
        <v>6</v>
      </c>
      <c r="D43" s="114" t="str">
        <f>Список!M54</f>
        <v>Олейникова  И. Ю.</v>
      </c>
      <c r="E43" s="114" t="str">
        <f>Список!N54</f>
        <v>Музыка</v>
      </c>
      <c r="F43" s="112">
        <f>SUMIF('Таблица общая'!$A$6:$A$159,"49",'Таблица общая'!G$6:G$159)</f>
        <v>29</v>
      </c>
      <c r="G43" s="112">
        <f>SUMIF('Таблица общая'!$A$6:$A$159,"49",'Таблица общая'!H$6:H$159)</f>
        <v>12</v>
      </c>
      <c r="H43" s="112">
        <f>SUMIF('Таблица общая'!$A$6:$A$159,"49",'Таблица общая'!I$6:I$159)</f>
        <v>14</v>
      </c>
      <c r="I43" s="112">
        <f>SUMIF('Таблица общая'!$A$6:$A$159,"49",'Таблица общая'!J$6:J$159)</f>
        <v>3</v>
      </c>
      <c r="J43" s="112">
        <f>SUMIF('Таблица общая'!$A$6:$A$159,"49",'Таблица общая'!K$6:K$159)</f>
        <v>0</v>
      </c>
      <c r="K43" s="112">
        <f>SUMIF('Таблица общая'!$A$6:$A$159,"49",'Таблица общая'!L$6:L$159)</f>
        <v>0</v>
      </c>
      <c r="L43" s="112">
        <f>SUMIF('Таблица общая'!$A$6:$A$159,"49",'Таблица общая'!M$6:M$159)</f>
        <v>0</v>
      </c>
      <c r="M43" s="115">
        <f t="shared" si="5"/>
        <v>4.3103448275862073</v>
      </c>
      <c r="N43" s="116">
        <f t="shared" si="6"/>
        <v>1</v>
      </c>
      <c r="O43" s="116">
        <f t="shared" si="7"/>
        <v>0.89655172413793105</v>
      </c>
      <c r="P43" s="116">
        <f t="shared" si="8"/>
        <v>0.76</v>
      </c>
      <c r="Q43" s="116">
        <f t="shared" si="9"/>
        <v>0.8</v>
      </c>
      <c r="R43" s="115">
        <f>SUMIFS('Таблица общая'!T$6:T$159,'Таблица общая'!A$6:A$159,B43)/COUNTIFS('Таблица общая'!A$6:A$159,B43,'Таблица общая'!A$6:A$159,"&gt;0")</f>
        <v>7.3103448275862073</v>
      </c>
    </row>
    <row r="44" spans="2:18">
      <c r="B44" s="113">
        <f>Список!L55</f>
        <v>50</v>
      </c>
      <c r="C44" s="112">
        <f>Список!O55</f>
        <v>3</v>
      </c>
      <c r="D44" s="114" t="str">
        <f>Список!M55</f>
        <v>Павлющик О.И.</v>
      </c>
      <c r="E44" s="114" t="str">
        <f>Список!N55</f>
        <v>Информатика</v>
      </c>
      <c r="F44" s="112">
        <f>SUMIF('Таблица общая'!$A$6:$A$159,"50",'Таблица общая'!G$6:G$159)</f>
        <v>29</v>
      </c>
      <c r="G44" s="112">
        <f>SUMIF('Таблица общая'!$A$6:$A$159,"50",'Таблица общая'!H$6:H$159)</f>
        <v>23</v>
      </c>
      <c r="H44" s="112">
        <f>SUMIF('Таблица общая'!$A$6:$A$159,"50",'Таблица общая'!I$6:I$159)</f>
        <v>6</v>
      </c>
      <c r="I44" s="112">
        <f>SUMIF('Таблица общая'!$A$6:$A$159,"50",'Таблица общая'!J$6:J$159)</f>
        <v>0</v>
      </c>
      <c r="J44" s="112">
        <f>SUMIF('Таблица общая'!$A$6:$A$159,"50",'Таблица общая'!K$6:K$159)</f>
        <v>0</v>
      </c>
      <c r="K44" s="112">
        <f>SUMIF('Таблица общая'!$A$6:$A$159,"50",'Таблица общая'!L$6:L$159)</f>
        <v>0</v>
      </c>
      <c r="L44" s="112">
        <f>SUMIF('Таблица общая'!$A$6:$A$159,"50",'Таблица общая'!M$6:M$159)</f>
        <v>0</v>
      </c>
      <c r="M44" s="115">
        <f t="shared" si="5"/>
        <v>4.7931034482758621</v>
      </c>
      <c r="N44" s="116">
        <f t="shared" si="6"/>
        <v>1</v>
      </c>
      <c r="O44" s="116">
        <f t="shared" si="7"/>
        <v>1</v>
      </c>
      <c r="P44" s="116">
        <f t="shared" si="8"/>
        <v>0.92551724137931035</v>
      </c>
      <c r="Q44" s="116">
        <f t="shared" si="9"/>
        <v>0.95862068965517244</v>
      </c>
      <c r="R44" s="115">
        <f>SUMIFS('Таблица общая'!T$6:T$159,'Таблица общая'!A$6:A$159,B44)/COUNTIFS('Таблица общая'!A$6:A$159,B44,'Таблица общая'!A$6:A$159,"&gt;0")</f>
        <v>10.793103448275861</v>
      </c>
    </row>
    <row r="45" spans="2:18">
      <c r="B45" s="113">
        <f>Список!L56</f>
        <v>51</v>
      </c>
      <c r="C45" s="112">
        <f>Список!O56</f>
        <v>5</v>
      </c>
      <c r="D45" s="114" t="str">
        <f>Список!M56</f>
        <v>Палиева А. И.</v>
      </c>
      <c r="E45" s="114" t="str">
        <f>Список!N56</f>
        <v>Биология</v>
      </c>
      <c r="F45" s="112">
        <f>SUMIF('Таблица общая'!$A$6:$A$159,"51",'Таблица общая'!G$6:G$159)</f>
        <v>29</v>
      </c>
      <c r="G45" s="112">
        <f>SUMIF('Таблица общая'!$A$6:$A$159,"51",'Таблица общая'!H$6:H$159)</f>
        <v>9</v>
      </c>
      <c r="H45" s="112">
        <f>SUMIF('Таблица общая'!$A$6:$A$159,"51",'Таблица общая'!I$6:I$159)</f>
        <v>15</v>
      </c>
      <c r="I45" s="112">
        <f>SUMIF('Таблица общая'!$A$6:$A$159,"51",'Таблица общая'!J$6:J$159)</f>
        <v>5</v>
      </c>
      <c r="J45" s="112">
        <f>SUMIF('Таблица общая'!$A$6:$A$159,"51",'Таблица общая'!K$6:K$159)</f>
        <v>0</v>
      </c>
      <c r="K45" s="112">
        <f>SUMIF('Таблица общая'!$A$6:$A$159,"51",'Таблица общая'!L$6:L$159)</f>
        <v>0</v>
      </c>
      <c r="L45" s="112">
        <f>SUMIF('Таблица общая'!$A$6:$A$159,"51",'Таблица общая'!M$6:M$159)</f>
        <v>0</v>
      </c>
      <c r="M45" s="115">
        <f t="shared" si="5"/>
        <v>4.1379310344827589</v>
      </c>
      <c r="N45" s="116">
        <f t="shared" si="6"/>
        <v>1</v>
      </c>
      <c r="O45" s="116">
        <f t="shared" si="7"/>
        <v>0.82758620689655171</v>
      </c>
      <c r="P45" s="116">
        <f t="shared" si="8"/>
        <v>0.70344827586206904</v>
      </c>
      <c r="Q45" s="116">
        <f t="shared" si="9"/>
        <v>0.72413793103448276</v>
      </c>
      <c r="R45" s="115">
        <f>SUMIFS('Таблица общая'!T$6:T$159,'Таблица общая'!A$6:A$159,B45)/COUNTIFS('Таблица общая'!A$6:A$159,B45,'Таблица общая'!A$6:A$159,"&gt;0")</f>
        <v>11.137931034482758</v>
      </c>
    </row>
    <row r="46" spans="2:18">
      <c r="B46" s="113">
        <f>Список!L57</f>
        <v>52</v>
      </c>
      <c r="C46" s="112">
        <f>Список!O57</f>
        <v>1</v>
      </c>
      <c r="D46" s="114" t="str">
        <f>Список!M57</f>
        <v>Полунина В. В.</v>
      </c>
      <c r="E46" s="114" t="str">
        <f>Список!N57</f>
        <v>Литература</v>
      </c>
      <c r="F46" s="112">
        <f>SUMIF('Таблица общая'!$A$6:$A$159,"52",'Таблица общая'!G$6:G$159)</f>
        <v>41</v>
      </c>
      <c r="G46" s="112">
        <f>SUMIF('Таблица общая'!$A$6:$A$159,"52",'Таблица общая'!H$6:H$159)</f>
        <v>18</v>
      </c>
      <c r="H46" s="112">
        <f>SUMIF('Таблица общая'!$A$6:$A$159,"52",'Таблица общая'!I$6:I$159)</f>
        <v>16</v>
      </c>
      <c r="I46" s="112">
        <f>SUMIF('Таблица общая'!$A$6:$A$159,"52",'Таблица общая'!J$6:J$159)</f>
        <v>7</v>
      </c>
      <c r="J46" s="112">
        <f>SUMIF('Таблица общая'!$A$6:$A$159,"52",'Таблица общая'!K$6:K$159)</f>
        <v>0</v>
      </c>
      <c r="K46" s="112">
        <f>SUMIF('Таблица общая'!$A$6:$A$159,"52",'Таблица общая'!L$6:L$159)</f>
        <v>0</v>
      </c>
      <c r="L46" s="112">
        <f>SUMIF('Таблица общая'!$A$6:$A$159,"52",'Таблица общая'!M$6:M$159)</f>
        <v>0</v>
      </c>
      <c r="M46" s="115">
        <f t="shared" si="5"/>
        <v>4.2682926829268295</v>
      </c>
      <c r="N46" s="116">
        <f t="shared" si="6"/>
        <v>1</v>
      </c>
      <c r="O46" s="116">
        <f t="shared" si="7"/>
        <v>0.82926829268292679</v>
      </c>
      <c r="P46" s="116">
        <f t="shared" si="8"/>
        <v>0.75024390243902439</v>
      </c>
      <c r="Q46" s="116">
        <f t="shared" si="9"/>
        <v>0.75121951219512195</v>
      </c>
      <c r="R46" s="115">
        <f>SUMIFS('Таблица общая'!T$6:T$159,'Таблица общая'!A$6:A$159,B46)/COUNTIFS('Таблица общая'!A$6:A$159,B46,'Таблица общая'!A$6:A$159,"&gt;0")</f>
        <v>8.9316239316239301</v>
      </c>
    </row>
    <row r="47" spans="2:18">
      <c r="B47" s="113">
        <f>Список!L59</f>
        <v>54</v>
      </c>
      <c r="C47" s="112">
        <f>Список!O59</f>
        <v>5</v>
      </c>
      <c r="D47" s="114" t="str">
        <f>Список!M59</f>
        <v>Полякова Е. В.</v>
      </c>
      <c r="E47" s="114" t="str">
        <f>Список!N59</f>
        <v>География</v>
      </c>
      <c r="F47" s="112">
        <f>SUMIF('Таблица общая'!$A$6:$A$159,"54",'Таблица общая'!G$6:G$159)</f>
        <v>104</v>
      </c>
      <c r="G47" s="112">
        <f>SUMIF('Таблица общая'!$A$6:$A$159,"54",'Таблица общая'!H$6:H$159)</f>
        <v>16</v>
      </c>
      <c r="H47" s="112">
        <f>SUMIF('Таблица общая'!$A$6:$A$159,"54",'Таблица общая'!I$6:I$159)</f>
        <v>48</v>
      </c>
      <c r="I47" s="112">
        <f>SUMIF('Таблица общая'!$A$6:$A$159,"54",'Таблица общая'!J$6:J$159)</f>
        <v>38</v>
      </c>
      <c r="J47" s="112">
        <f>SUMIF('Таблица общая'!$A$6:$A$159,"54",'Таблица общая'!K$6:K$159)</f>
        <v>2</v>
      </c>
      <c r="K47" s="112">
        <f>SUMIF('Таблица общая'!$A$6:$A$159,"54",'Таблица общая'!L$6:L$159)</f>
        <v>0</v>
      </c>
      <c r="L47" s="112">
        <f>SUMIF('Таблица общая'!$A$6:$A$159,"54",'Таблица общая'!M$6:M$159)</f>
        <v>0</v>
      </c>
      <c r="M47" s="115">
        <f t="shared" si="5"/>
        <v>3.75</v>
      </c>
      <c r="N47" s="116">
        <f t="shared" si="6"/>
        <v>0.98076923076923073</v>
      </c>
      <c r="O47" s="116">
        <f t="shared" si="7"/>
        <v>0.61538461538461542</v>
      </c>
      <c r="P47" s="116">
        <f t="shared" si="8"/>
        <v>0.58384615384615379</v>
      </c>
      <c r="Q47" s="116">
        <f t="shared" si="9"/>
        <v>0.52307692307692311</v>
      </c>
      <c r="R47" s="115">
        <f>SUMIFS('Таблица общая'!T$6:T$159,'Таблица общая'!A$6:A$159,B47)/COUNTIFS('Таблица общая'!A$6:A$159,B47,'Таблица общая'!A$6:A$159,"&gt;0")</f>
        <v>9.8937037037037037</v>
      </c>
    </row>
    <row r="48" spans="2:18">
      <c r="B48" s="113">
        <f>Список!L60</f>
        <v>55</v>
      </c>
      <c r="C48" s="112">
        <f>Список!O60</f>
        <v>3</v>
      </c>
      <c r="D48" s="114" t="str">
        <f>Список!M60</f>
        <v>Попова Т. А.</v>
      </c>
      <c r="E48" s="114" t="str">
        <f>Список!N60</f>
        <v>Алгебра</v>
      </c>
      <c r="F48" s="112">
        <f>SUMIF('Таблица общая'!$A$6:$A$159,"55",'Таблица общая'!G$6:G$159)</f>
        <v>79</v>
      </c>
      <c r="G48" s="112">
        <f>SUMIF('Таблица общая'!$A$6:$A$159,"55",'Таблица общая'!H$6:H$159)</f>
        <v>6</v>
      </c>
      <c r="H48" s="112">
        <f>SUMIF('Таблица общая'!$A$6:$A$159,"55",'Таблица общая'!I$6:I$159)</f>
        <v>32</v>
      </c>
      <c r="I48" s="112">
        <f>SUMIF('Таблица общая'!$A$6:$A$159,"55",'Таблица общая'!J$6:J$159)</f>
        <v>39</v>
      </c>
      <c r="J48" s="112">
        <f>SUMIF('Таблица общая'!$A$6:$A$159,"55",'Таблица общая'!K$6:K$159)</f>
        <v>2</v>
      </c>
      <c r="K48" s="112">
        <f>SUMIF('Таблица общая'!$A$6:$A$159,"55",'Таблица общая'!L$6:L$159)</f>
        <v>0</v>
      </c>
      <c r="L48" s="112">
        <f>SUMIF('Таблица общая'!$A$6:$A$159,"55",'Таблица общая'!M$6:M$159)</f>
        <v>0</v>
      </c>
      <c r="M48" s="115">
        <f t="shared" si="5"/>
        <v>3.5316455696202533</v>
      </c>
      <c r="N48" s="116">
        <f t="shared" si="6"/>
        <v>0.97468354430379744</v>
      </c>
      <c r="O48" s="116">
        <f t="shared" si="7"/>
        <v>0.48101265822784811</v>
      </c>
      <c r="P48" s="116">
        <f t="shared" si="8"/>
        <v>0.51696202531645563</v>
      </c>
      <c r="Q48" s="116">
        <f t="shared" si="9"/>
        <v>0.4</v>
      </c>
      <c r="R48" s="115">
        <f>SUMIFS('Таблица общая'!T$6:T$159,'Таблица общая'!A$6:A$159,B48)/COUNTIFS('Таблица общая'!A$6:A$159,B48,'Таблица общая'!A$6:A$159,"&gt;0")</f>
        <v>9.7303703703703714</v>
      </c>
    </row>
    <row r="49" spans="2:18">
      <c r="B49" s="113">
        <f>Список!L62</f>
        <v>57</v>
      </c>
      <c r="C49" s="112">
        <f>Список!O62</f>
        <v>3</v>
      </c>
      <c r="D49" s="114" t="str">
        <f>Список!M62</f>
        <v>Попова Т. А.</v>
      </c>
      <c r="E49" s="114" t="str">
        <f>Список!N62</f>
        <v>Математика</v>
      </c>
      <c r="F49" s="112">
        <f>SUMIF('Таблица общая'!$A$6:$A$159,"57",'Таблица общая'!G$6:G$159)</f>
        <v>77</v>
      </c>
      <c r="G49" s="112">
        <f>SUMIF('Таблица общая'!$A$6:$A$159,"57",'Таблица общая'!H$6:H$159)</f>
        <v>18</v>
      </c>
      <c r="H49" s="112">
        <f>SUMIF('Таблица общая'!$A$6:$A$159,"57",'Таблица общая'!I$6:I$159)</f>
        <v>22</v>
      </c>
      <c r="I49" s="112">
        <f>SUMIF('Таблица общая'!$A$6:$A$159,"57",'Таблица общая'!J$6:J$159)</f>
        <v>37</v>
      </c>
      <c r="J49" s="112">
        <f>SUMIF('Таблица общая'!$A$6:$A$159,"57",'Таблица общая'!K$6:K$159)</f>
        <v>0</v>
      </c>
      <c r="K49" s="112">
        <f>SUMIF('Таблица общая'!$A$6:$A$159,"57",'Таблица общая'!L$6:L$159)</f>
        <v>0</v>
      </c>
      <c r="L49" s="112">
        <f>SUMIF('Таблица общая'!$A$6:$A$159,"57",'Таблица общая'!M$6:M$159)</f>
        <v>0</v>
      </c>
      <c r="M49" s="115">
        <f t="shared" si="5"/>
        <v>3.7532467532467533</v>
      </c>
      <c r="N49" s="116">
        <f t="shared" si="6"/>
        <v>1</v>
      </c>
      <c r="O49" s="116">
        <f t="shared" si="7"/>
        <v>0.51948051948051943</v>
      </c>
      <c r="P49" s="116">
        <f t="shared" si="8"/>
        <v>0.58961038961038958</v>
      </c>
      <c r="Q49" s="116">
        <f t="shared" si="9"/>
        <v>0.46233766233766233</v>
      </c>
      <c r="R49" s="115">
        <f>SUMIFS('Таблица общая'!T$6:T$159,'Таблица общая'!A$6:A$159,B49)/COUNTIFS('Таблица общая'!A$6:A$159,B49,'Таблица общая'!A$6:A$159,"&gt;0")</f>
        <v>8.0725252525252529</v>
      </c>
    </row>
    <row r="50" spans="2:18">
      <c r="B50" s="113">
        <f>Список!L63</f>
        <v>58</v>
      </c>
      <c r="C50" s="112">
        <f>Список!O63</f>
        <v>2</v>
      </c>
      <c r="D50" s="114" t="str">
        <f>Список!M63</f>
        <v>Простова Н. А.</v>
      </c>
      <c r="E50" s="114" t="str">
        <f>Список!N63</f>
        <v>Английский язык</v>
      </c>
      <c r="F50" s="112">
        <f>SUMIF('Таблица общая'!$A$6:$A$159,"58",'Таблица общая'!G$6:G$159)</f>
        <v>77</v>
      </c>
      <c r="G50" s="112">
        <f>SUMIF('Таблица общая'!$A$6:$A$159,"58",'Таблица общая'!H$6:H$159)</f>
        <v>6</v>
      </c>
      <c r="H50" s="112">
        <f>SUMIF('Таблица общая'!$A$6:$A$159,"58",'Таблица общая'!I$6:I$159)</f>
        <v>25</v>
      </c>
      <c r="I50" s="112">
        <f>SUMIF('Таблица общая'!$A$6:$A$159,"58",'Таблица общая'!J$6:J$159)</f>
        <v>46</v>
      </c>
      <c r="J50" s="112">
        <f>SUMIF('Таблица общая'!$A$6:$A$159,"58",'Таблица общая'!K$6:K$159)</f>
        <v>0</v>
      </c>
      <c r="K50" s="112">
        <f>SUMIF('Таблица общая'!$A$6:$A$159,"58",'Таблица общая'!L$6:L$159)</f>
        <v>0</v>
      </c>
      <c r="L50" s="112">
        <f>SUMIF('Таблица общая'!$A$6:$A$159,"58",'Таблица общая'!M$6:M$159)</f>
        <v>0</v>
      </c>
      <c r="M50" s="115">
        <f t="shared" si="5"/>
        <v>3.4805194805194803</v>
      </c>
      <c r="N50" s="116">
        <f t="shared" si="6"/>
        <v>1</v>
      </c>
      <c r="O50" s="116">
        <f t="shared" si="7"/>
        <v>0.40259740259740262</v>
      </c>
      <c r="P50" s="116">
        <f t="shared" si="8"/>
        <v>0.50077922077922077</v>
      </c>
      <c r="Q50" s="116">
        <f t="shared" si="9"/>
        <v>0.33766233766233766</v>
      </c>
      <c r="R50" s="115">
        <f>SUMIFS('Таблица общая'!T$6:T$159,'Таблица общая'!A$6:A$159,B50)/COUNTIFS('Таблица общая'!A$6:A$159,B50,'Таблица общая'!A$6:A$159,"&gt;0")</f>
        <v>12.799393939393939</v>
      </c>
    </row>
    <row r="51" spans="2:18">
      <c r="B51" s="113">
        <f>Список!L64</f>
        <v>59</v>
      </c>
      <c r="C51" s="112">
        <f>Список!O64</f>
        <v>6</v>
      </c>
      <c r="D51" s="114" t="str">
        <f>Список!M64</f>
        <v>Руденко Н.Ю.</v>
      </c>
      <c r="E51" s="114" t="str">
        <f>Список!N64</f>
        <v>Музыка</v>
      </c>
      <c r="F51" s="112">
        <f>SUMIF('Таблица общая'!$A$6:$A$159,"59",'Таблица общая'!G$6:G$159)</f>
        <v>243</v>
      </c>
      <c r="G51" s="112">
        <f>SUMIF('Таблица общая'!$A$6:$A$159,"59",'Таблица общая'!H$6:H$159)</f>
        <v>43</v>
      </c>
      <c r="H51" s="112">
        <f>SUMIF('Таблица общая'!$A$6:$A$159,"59",'Таблица общая'!I$6:I$159)</f>
        <v>112</v>
      </c>
      <c r="I51" s="112">
        <f>SUMIF('Таблица общая'!$A$6:$A$159,"59",'Таблица общая'!J$6:J$159)</f>
        <v>86</v>
      </c>
      <c r="J51" s="112">
        <f>SUMIF('Таблица общая'!$A$6:$A$159,"59",'Таблица общая'!K$6:K$159)</f>
        <v>1</v>
      </c>
      <c r="K51" s="112">
        <f>SUMIF('Таблица общая'!$A$6:$A$159,"59",'Таблица общая'!L$6:L$159)</f>
        <v>1</v>
      </c>
      <c r="L51" s="112">
        <f>SUMIF('Таблица общая'!$A$6:$A$159,"59",'Таблица общая'!M$6:M$159)</f>
        <v>0</v>
      </c>
      <c r="M51" s="115">
        <f t="shared" si="5"/>
        <v>3.7983539094650207</v>
      </c>
      <c r="N51" s="116">
        <f t="shared" si="6"/>
        <v>0.99176954732510292</v>
      </c>
      <c r="O51" s="116">
        <f t="shared" si="7"/>
        <v>0.63786008230452673</v>
      </c>
      <c r="P51" s="116">
        <f t="shared" si="8"/>
        <v>0.60000000000000009</v>
      </c>
      <c r="Q51" s="116">
        <f t="shared" si="9"/>
        <v>0.54567901234567906</v>
      </c>
      <c r="R51" s="115">
        <f>SUMIFS('Таблица общая'!T$6:T$159,'Таблица общая'!A$6:A$159,B51)/COUNTIFS('Таблица общая'!A$6:A$159,B51,'Таблица общая'!A$6:A$159,"&gt;0")</f>
        <v>4.7532162530246822</v>
      </c>
    </row>
    <row r="52" spans="2:18">
      <c r="B52" s="113">
        <f>Список!L66</f>
        <v>61</v>
      </c>
      <c r="C52" s="112">
        <f>Список!O66</f>
        <v>9</v>
      </c>
      <c r="D52" s="114" t="str">
        <f>Список!M66</f>
        <v>Самойленко Н. Ф.</v>
      </c>
      <c r="E52" s="114" t="str">
        <f>Список!N66</f>
        <v>Литература НШ</v>
      </c>
      <c r="F52" s="112">
        <f>SUMIF('Таблица общая'!$A$6:$A$159,"61",'Таблица общая'!G$6:G$159)</f>
        <v>7</v>
      </c>
      <c r="G52" s="112">
        <f>SUMIF('Таблица общая'!$A$6:$A$159,"61",'Таблица общая'!H$6:H$159)</f>
        <v>1</v>
      </c>
      <c r="H52" s="112">
        <f>SUMIF('Таблица общая'!$A$6:$A$159,"61",'Таблица общая'!I$6:I$159)</f>
        <v>3</v>
      </c>
      <c r="I52" s="112">
        <f>SUMIF('Таблица общая'!$A$6:$A$159,"61",'Таблица общая'!J$6:J$159)</f>
        <v>3</v>
      </c>
      <c r="J52" s="112">
        <f>SUMIF('Таблица общая'!$A$6:$A$159,"61",'Таблица общая'!K$6:K$159)</f>
        <v>0</v>
      </c>
      <c r="K52" s="112">
        <f>SUMIF('Таблица общая'!$A$6:$A$159,"61",'Таблица общая'!L$6:L$159)</f>
        <v>0</v>
      </c>
      <c r="L52" s="112">
        <f>SUMIF('Таблица общая'!$A$6:$A$159,"61",'Таблица общая'!M$6:M$159)</f>
        <v>0</v>
      </c>
      <c r="M52" s="115">
        <f t="shared" si="5"/>
        <v>3.7142857142857144</v>
      </c>
      <c r="N52" s="116">
        <f t="shared" si="6"/>
        <v>1</v>
      </c>
      <c r="O52" s="116">
        <f t="shared" si="7"/>
        <v>0.5714285714285714</v>
      </c>
      <c r="P52" s="116">
        <f t="shared" si="8"/>
        <v>0.5714285714285714</v>
      </c>
      <c r="Q52" s="116">
        <f t="shared" si="9"/>
        <v>0.48571428571428571</v>
      </c>
      <c r="R52" s="115">
        <f>SUMIFS('Таблица общая'!T$6:T$159,'Таблица общая'!A$6:A$159,B52)/COUNTIFS('Таблица общая'!A$6:A$159,B52,'Таблица общая'!A$6:A$159,"&gt;0")</f>
        <v>3.7142857142857144</v>
      </c>
    </row>
    <row r="53" spans="2:18">
      <c r="B53" s="113">
        <f>Список!L67</f>
        <v>62</v>
      </c>
      <c r="C53" s="112">
        <f>Список!O67</f>
        <v>9</v>
      </c>
      <c r="D53" s="114" t="str">
        <f>Список!M67</f>
        <v>Самойленко Н. Ф.</v>
      </c>
      <c r="E53" s="114" t="str">
        <f>Список!N67</f>
        <v>Естествознание НШ</v>
      </c>
      <c r="F53" s="112">
        <f>SUMIF('Таблица общая'!$A$6:$A$159,"62",'Таблица общая'!G$6:G$159)</f>
        <v>48</v>
      </c>
      <c r="G53" s="112">
        <f>SUMIF('Таблица общая'!$A$6:$A$159,"62",'Таблица общая'!H$6:H$159)</f>
        <v>21</v>
      </c>
      <c r="H53" s="112">
        <f>SUMIF('Таблица общая'!$A$6:$A$159,"62",'Таблица общая'!I$6:I$159)</f>
        <v>18</v>
      </c>
      <c r="I53" s="112">
        <f>SUMIF('Таблица общая'!$A$6:$A$159,"62",'Таблица общая'!J$6:J$159)</f>
        <v>9</v>
      </c>
      <c r="J53" s="112">
        <f>SUMIF('Таблица общая'!$A$6:$A$159,"62",'Таблица общая'!K$6:K$159)</f>
        <v>0</v>
      </c>
      <c r="K53" s="112">
        <f>SUMIF('Таблица общая'!$A$6:$A$159,"62",'Таблица общая'!L$6:L$159)</f>
        <v>0</v>
      </c>
      <c r="L53" s="112">
        <f>SUMIF('Таблица общая'!$A$6:$A$159,"62",'Таблица общая'!M$6:M$159)</f>
        <v>0</v>
      </c>
      <c r="M53" s="115">
        <f t="shared" si="5"/>
        <v>4.25</v>
      </c>
      <c r="N53" s="116">
        <f t="shared" si="6"/>
        <v>1</v>
      </c>
      <c r="O53" s="116">
        <f t="shared" si="7"/>
        <v>0.8125</v>
      </c>
      <c r="P53" s="116">
        <f t="shared" si="8"/>
        <v>0.745</v>
      </c>
      <c r="Q53" s="116">
        <f t="shared" si="9"/>
        <v>0.73750000000000004</v>
      </c>
      <c r="R53" s="115">
        <f>SUMIFS('Таблица общая'!T$6:T$159,'Таблица общая'!A$6:A$159,B53)/COUNTIFS('Таблица общая'!A$6:A$159,B53,'Таблица общая'!A$6:A$159,"&gt;0")</f>
        <v>4.250799200799201</v>
      </c>
    </row>
    <row r="54" spans="2:18">
      <c r="B54" s="113">
        <f>Список!L68</f>
        <v>63</v>
      </c>
      <c r="C54" s="112">
        <f>Список!O68</f>
        <v>9</v>
      </c>
      <c r="D54" s="114" t="str">
        <f>Список!M68</f>
        <v>Самойленко Н. Ф.</v>
      </c>
      <c r="E54" s="114" t="str">
        <f>Список!N68</f>
        <v>Русский язык НШ</v>
      </c>
      <c r="F54" s="112">
        <f>SUMIF('Таблица общая'!$A$6:$A$159,"63",'Таблица общая'!G$6:G$159)</f>
        <v>86</v>
      </c>
      <c r="G54" s="112">
        <f>SUMIF('Таблица общая'!$A$6:$A$159,"63",'Таблица общая'!H$6:H$159)</f>
        <v>49</v>
      </c>
      <c r="H54" s="112">
        <f>SUMIF('Таблица общая'!$A$6:$A$159,"63",'Таблица общая'!I$6:I$159)</f>
        <v>32</v>
      </c>
      <c r="I54" s="112">
        <f>SUMIF('Таблица общая'!$A$6:$A$159,"63",'Таблица общая'!J$6:J$159)</f>
        <v>5</v>
      </c>
      <c r="J54" s="112">
        <f>SUMIF('Таблица общая'!$A$6:$A$159,"63",'Таблица общая'!K$6:K$159)</f>
        <v>0</v>
      </c>
      <c r="K54" s="112">
        <f>SUMIF('Таблица общая'!$A$6:$A$159,"63",'Таблица общая'!L$6:L$159)</f>
        <v>0</v>
      </c>
      <c r="L54" s="112">
        <f>SUMIF('Таблица общая'!$A$6:$A$159,"63",'Таблица общая'!M$6:M$159)</f>
        <v>0</v>
      </c>
      <c r="M54" s="115">
        <f t="shared" si="5"/>
        <v>4.5116279069767442</v>
      </c>
      <c r="N54" s="116">
        <f t="shared" si="6"/>
        <v>1</v>
      </c>
      <c r="O54" s="116">
        <f t="shared" si="7"/>
        <v>0.94186046511627908</v>
      </c>
      <c r="P54" s="116">
        <f t="shared" si="8"/>
        <v>0.82883720930232563</v>
      </c>
      <c r="Q54" s="116">
        <f t="shared" si="9"/>
        <v>0.86744186046511629</v>
      </c>
      <c r="R54" s="115">
        <f>SUMIFS('Таблица общая'!T$6:T$159,'Таблица общая'!A$6:A$159,B54)/COUNTIFS('Таблица общая'!A$6:A$159,B54,'Таблица общая'!A$6:A$159,"&gt;0")</f>
        <v>11.517791732077445</v>
      </c>
    </row>
    <row r="55" spans="2:18">
      <c r="B55" s="113">
        <f>Список!L69</f>
        <v>64</v>
      </c>
      <c r="C55" s="112">
        <f>Список!O69</f>
        <v>1</v>
      </c>
      <c r="D55" s="114" t="str">
        <f>Список!M69</f>
        <v>Скокова Е. В.</v>
      </c>
      <c r="E55" s="114" t="str">
        <f>Список!N69</f>
        <v>Литература</v>
      </c>
      <c r="F55" s="112">
        <f>SUMIF('Таблица общая'!$A$6:$A$159,"64",'Таблица общая'!G$6:G$159)</f>
        <v>27</v>
      </c>
      <c r="G55" s="112">
        <f>SUMIF('Таблица общая'!$A$6:$A$159,"64",'Таблица общая'!H$6:H$159)</f>
        <v>0</v>
      </c>
      <c r="H55" s="112">
        <f>SUMIF('Таблица общая'!$A$6:$A$159,"64",'Таблица общая'!I$6:I$159)</f>
        <v>9</v>
      </c>
      <c r="I55" s="112">
        <f>SUMIF('Таблица общая'!$A$6:$A$159,"64",'Таблица общая'!J$6:J$159)</f>
        <v>18</v>
      </c>
      <c r="J55" s="112">
        <f>SUMIF('Таблица общая'!$A$6:$A$159,"64",'Таблица общая'!K$6:K$159)</f>
        <v>0</v>
      </c>
      <c r="K55" s="112">
        <f>SUMIF('Таблица общая'!$A$6:$A$159,"64",'Таблица общая'!L$6:L$159)</f>
        <v>0</v>
      </c>
      <c r="L55" s="112">
        <f>SUMIF('Таблица общая'!$A$6:$A$159,"64",'Таблица общая'!M$6:M$159)</f>
        <v>0</v>
      </c>
      <c r="M55" s="115">
        <f t="shared" si="5"/>
        <v>3.3333333333333335</v>
      </c>
      <c r="N55" s="116">
        <f t="shared" si="6"/>
        <v>1</v>
      </c>
      <c r="O55" s="116">
        <f t="shared" si="7"/>
        <v>0.33333333333333331</v>
      </c>
      <c r="P55" s="116">
        <f t="shared" si="8"/>
        <v>0.45333333333333325</v>
      </c>
      <c r="Q55" s="116">
        <f t="shared" si="9"/>
        <v>0.26666666666666666</v>
      </c>
      <c r="R55" s="115">
        <f>SUMIFS('Таблица общая'!T$6:T$159,'Таблица общая'!A$6:A$159,B55)/COUNTIFS('Таблица общая'!A$6:A$159,B55,'Таблица общая'!A$6:A$159,"&gt;0")</f>
        <v>7.3333333333333339</v>
      </c>
    </row>
    <row r="56" spans="2:18">
      <c r="B56" s="113">
        <f>Список!L70</f>
        <v>65</v>
      </c>
      <c r="C56" s="112">
        <f>Список!O70</f>
        <v>6</v>
      </c>
      <c r="D56" s="114" t="str">
        <f>Список!M70</f>
        <v>Скокова Е. В.</v>
      </c>
      <c r="E56" s="114" t="str">
        <f>Список!N70</f>
        <v>МХК</v>
      </c>
      <c r="F56" s="112">
        <f>SUMIF('Таблица общая'!$A$6:$A$159,"65",'Таблица общая'!G$6:G$159)</f>
        <v>27</v>
      </c>
      <c r="G56" s="112">
        <f>SUMIF('Таблица общая'!$A$6:$A$159,"65",'Таблица общая'!H$6:H$159)</f>
        <v>2</v>
      </c>
      <c r="H56" s="112">
        <f>SUMIF('Таблица общая'!$A$6:$A$159,"65",'Таблица общая'!I$6:I$159)</f>
        <v>9</v>
      </c>
      <c r="I56" s="112">
        <f>SUMIF('Таблица общая'!$A$6:$A$159,"65",'Таблица общая'!J$6:J$159)</f>
        <v>16</v>
      </c>
      <c r="J56" s="112">
        <f>SUMIF('Таблица общая'!$A$6:$A$159,"65",'Таблица общая'!K$6:K$159)</f>
        <v>0</v>
      </c>
      <c r="K56" s="112">
        <f>SUMIF('Таблица общая'!$A$6:$A$159,"65",'Таблица общая'!L$6:L$159)</f>
        <v>0</v>
      </c>
      <c r="L56" s="112">
        <f>SUMIF('Таблица общая'!$A$6:$A$159,"65",'Таблица общая'!M$6:M$159)</f>
        <v>0</v>
      </c>
      <c r="M56" s="115">
        <f t="shared" si="5"/>
        <v>3.4814814814814814</v>
      </c>
      <c r="N56" s="116">
        <f t="shared" si="6"/>
        <v>1</v>
      </c>
      <c r="O56" s="116">
        <f t="shared" si="7"/>
        <v>0.40740740740740738</v>
      </c>
      <c r="P56" s="116">
        <f t="shared" si="8"/>
        <v>0.50074074074074071</v>
      </c>
      <c r="Q56" s="116">
        <f t="shared" si="9"/>
        <v>0.34074074074074073</v>
      </c>
      <c r="R56" s="115">
        <f>SUMIFS('Таблица общая'!T$6:T$159,'Таблица общая'!A$6:A$159,B56)/COUNTIFS('Таблица общая'!A$6:A$159,B56,'Таблица общая'!A$6:A$159,"&gt;0")</f>
        <v>8.481481481481481</v>
      </c>
    </row>
    <row r="57" spans="2:18">
      <c r="B57" s="113">
        <f>Список!L71</f>
        <v>66</v>
      </c>
      <c r="C57" s="112">
        <f>Список!O71</f>
        <v>1</v>
      </c>
      <c r="D57" s="114" t="str">
        <f>Список!M71</f>
        <v>Скокова Е. В.</v>
      </c>
      <c r="E57" s="114" t="str">
        <f>Список!N71</f>
        <v>Русский язык</v>
      </c>
      <c r="F57" s="112">
        <f>SUMIF('Таблица общая'!$A$6:$A$159,"66",'Таблица общая'!G$6:G$159)</f>
        <v>28</v>
      </c>
      <c r="G57" s="112">
        <f>SUMIF('Таблица общая'!$A$6:$A$159,"66",'Таблица общая'!H$6:H$159)</f>
        <v>0</v>
      </c>
      <c r="H57" s="112">
        <f>SUMIF('Таблица общая'!$A$6:$A$159,"66",'Таблица общая'!I$6:I$159)</f>
        <v>13</v>
      </c>
      <c r="I57" s="112">
        <f>SUMIF('Таблица общая'!$A$6:$A$159,"66",'Таблица общая'!J$6:J$159)</f>
        <v>15</v>
      </c>
      <c r="J57" s="112">
        <f>SUMIF('Таблица общая'!$A$6:$A$159,"66",'Таблица общая'!K$6:K$159)</f>
        <v>0</v>
      </c>
      <c r="K57" s="112">
        <f>SUMIF('Таблица общая'!$A$6:$A$159,"66",'Таблица общая'!L$6:L$159)</f>
        <v>0</v>
      </c>
      <c r="L57" s="112">
        <f>SUMIF('Таблица общая'!$A$6:$A$159,"66",'Таблица общая'!M$6:M$159)</f>
        <v>0</v>
      </c>
      <c r="M57" s="115">
        <f t="shared" si="5"/>
        <v>3.4642857142857144</v>
      </c>
      <c r="N57" s="116">
        <f t="shared" si="6"/>
        <v>1</v>
      </c>
      <c r="O57" s="116">
        <f t="shared" si="7"/>
        <v>0.4642857142857143</v>
      </c>
      <c r="P57" s="116">
        <f t="shared" si="8"/>
        <v>0.48999999999999994</v>
      </c>
      <c r="Q57" s="116">
        <f t="shared" si="9"/>
        <v>0.37142857142857144</v>
      </c>
      <c r="R57" s="115">
        <f>SUMIFS('Таблица общая'!T$6:T$159,'Таблица общая'!A$6:A$159,B57)/COUNTIFS('Таблица общая'!A$6:A$159,B57,'Таблица общая'!A$6:A$159,"&gt;0")</f>
        <v>10.464285714285715</v>
      </c>
    </row>
    <row r="58" spans="2:18">
      <c r="B58" s="113">
        <f>Список!L72</f>
        <v>67</v>
      </c>
      <c r="C58" s="112">
        <f>Список!O72</f>
        <v>9</v>
      </c>
      <c r="D58" s="114" t="str">
        <f>Список!M72</f>
        <v>Сорокина М. В.</v>
      </c>
      <c r="E58" s="114" t="str">
        <f>Список!N72</f>
        <v>Литература НШ</v>
      </c>
      <c r="F58" s="112">
        <f>SUMIF('Таблица общая'!$A$6:$A$159,"67",'Таблица общая'!G$6:G$159)</f>
        <v>28</v>
      </c>
      <c r="G58" s="112">
        <f>SUMIF('Таблица общая'!$A$6:$A$159,"67",'Таблица общая'!H$6:H$159)</f>
        <v>0</v>
      </c>
      <c r="H58" s="112">
        <f>SUMIF('Таблица общая'!$A$6:$A$159,"67",'Таблица общая'!I$6:I$159)</f>
        <v>15</v>
      </c>
      <c r="I58" s="112">
        <f>SUMIF('Таблица общая'!$A$6:$A$159,"67",'Таблица общая'!J$6:J$159)</f>
        <v>13</v>
      </c>
      <c r="J58" s="112">
        <f>SUMIF('Таблица общая'!$A$6:$A$159,"67",'Таблица общая'!K$6:K$159)</f>
        <v>0</v>
      </c>
      <c r="K58" s="112">
        <f>SUMIF('Таблица общая'!$A$6:$A$159,"67",'Таблица общая'!L$6:L$159)</f>
        <v>0</v>
      </c>
      <c r="L58" s="112">
        <f>SUMIF('Таблица общая'!$A$6:$A$159,"67",'Таблица общая'!M$6:M$159)</f>
        <v>0</v>
      </c>
      <c r="M58" s="115">
        <f t="shared" si="5"/>
        <v>3.5357142857142856</v>
      </c>
      <c r="N58" s="116">
        <f t="shared" si="6"/>
        <v>1</v>
      </c>
      <c r="O58" s="116">
        <f t="shared" si="7"/>
        <v>0.5357142857142857</v>
      </c>
      <c r="P58" s="116">
        <f t="shared" si="8"/>
        <v>0.51</v>
      </c>
      <c r="Q58" s="116">
        <f t="shared" si="9"/>
        <v>0.42857142857142855</v>
      </c>
      <c r="R58" s="115">
        <f>SUMIFS('Таблица общая'!T$6:T$159,'Таблица общая'!A$6:A$159,B58)/COUNTIFS('Таблица общая'!A$6:A$159,B58,'Таблица общая'!A$6:A$159,"&gt;0")</f>
        <v>3.5357142857142856</v>
      </c>
    </row>
    <row r="59" spans="2:18">
      <c r="B59" s="113">
        <f>Список!L73</f>
        <v>68</v>
      </c>
      <c r="C59" s="112">
        <f>Список!O73</f>
        <v>9</v>
      </c>
      <c r="D59" s="114" t="str">
        <f>Список!M73</f>
        <v>Сорокина М. В.</v>
      </c>
      <c r="E59" s="114" t="str">
        <f>Список!N73</f>
        <v>Математика НШ</v>
      </c>
      <c r="F59" s="112">
        <f>SUMIF('Таблица общая'!$A$6:$A$159,"68",'Таблица общая'!G$6:G$159)</f>
        <v>31</v>
      </c>
      <c r="G59" s="112">
        <f>SUMIF('Таблица общая'!$A$6:$A$159,"68",'Таблица общая'!H$6:H$159)</f>
        <v>27</v>
      </c>
      <c r="H59" s="112">
        <f>SUMIF('Таблица общая'!$A$6:$A$159,"68",'Таблица общая'!I$6:I$159)</f>
        <v>3</v>
      </c>
      <c r="I59" s="112">
        <f>SUMIF('Таблица общая'!$A$6:$A$159,"68",'Таблица общая'!J$6:J$159)</f>
        <v>1</v>
      </c>
      <c r="J59" s="112">
        <f>SUMIF('Таблица общая'!$A$6:$A$159,"68",'Таблица общая'!K$6:K$159)</f>
        <v>0</v>
      </c>
      <c r="K59" s="112">
        <f>SUMIF('Таблица общая'!$A$6:$A$159,"68",'Таблица общая'!L$6:L$159)</f>
        <v>0</v>
      </c>
      <c r="L59" s="112">
        <f>SUMIF('Таблица общая'!$A$6:$A$159,"68",'Таблица общая'!M$6:M$159)</f>
        <v>0</v>
      </c>
      <c r="M59" s="115">
        <f t="shared" si="5"/>
        <v>4.838709677419355</v>
      </c>
      <c r="N59" s="116">
        <f t="shared" si="6"/>
        <v>1</v>
      </c>
      <c r="O59" s="116">
        <f t="shared" si="7"/>
        <v>0.967741935483871</v>
      </c>
      <c r="P59" s="116">
        <f t="shared" si="8"/>
        <v>0.94451612903225812</v>
      </c>
      <c r="Q59" s="116">
        <f t="shared" si="9"/>
        <v>0.94838709677419353</v>
      </c>
      <c r="R59" s="115">
        <f>SUMIFS('Таблица общая'!T$6:T$159,'Таблица общая'!A$6:A$159,B59)/COUNTIFS('Таблица общая'!A$6:A$159,B59,'Таблица общая'!A$6:A$159,"&gt;0")</f>
        <v>12.838709677419356</v>
      </c>
    </row>
    <row r="60" spans="2:18">
      <c r="B60" s="113">
        <f>Список!L74</f>
        <v>69</v>
      </c>
      <c r="C60" s="112">
        <f>Список!O74</f>
        <v>9</v>
      </c>
      <c r="D60" s="114" t="str">
        <f>Список!M74</f>
        <v>Сорокина М. В.</v>
      </c>
      <c r="E60" s="114" t="str">
        <f>Список!N74</f>
        <v>Естествознание НШ</v>
      </c>
      <c r="F60" s="112">
        <f>SUMIF('Таблица общая'!$A$6:$A$159,"69",'Таблица общая'!G$6:G$159)</f>
        <v>31</v>
      </c>
      <c r="G60" s="112">
        <f>SUMIF('Таблица общая'!$A$6:$A$159,"69",'Таблица общая'!H$6:H$159)</f>
        <v>8</v>
      </c>
      <c r="H60" s="112">
        <f>SUMIF('Таблица общая'!$A$6:$A$159,"69",'Таблица общая'!I$6:I$159)</f>
        <v>19</v>
      </c>
      <c r="I60" s="112">
        <f>SUMIF('Таблица общая'!$A$6:$A$159,"69",'Таблица общая'!J$6:J$159)</f>
        <v>4</v>
      </c>
      <c r="J60" s="112">
        <f>SUMIF('Таблица общая'!$A$6:$A$159,"69",'Таблица общая'!K$6:K$159)</f>
        <v>0</v>
      </c>
      <c r="K60" s="112">
        <f>SUMIF('Таблица общая'!$A$6:$A$159,"69",'Таблица общая'!L$6:L$159)</f>
        <v>0</v>
      </c>
      <c r="L60" s="112">
        <f>SUMIF('Таблица общая'!$A$6:$A$159,"69",'Таблица общая'!M$6:M$159)</f>
        <v>0</v>
      </c>
      <c r="M60" s="115">
        <f t="shared" si="5"/>
        <v>4.129032258064516</v>
      </c>
      <c r="N60" s="116">
        <f t="shared" si="6"/>
        <v>1</v>
      </c>
      <c r="O60" s="116">
        <f t="shared" si="7"/>
        <v>0.87096774193548387</v>
      </c>
      <c r="P60" s="116">
        <f t="shared" si="8"/>
        <v>0.6967741935483871</v>
      </c>
      <c r="Q60" s="116">
        <f t="shared" si="9"/>
        <v>0.74838709677419357</v>
      </c>
      <c r="R60" s="115">
        <f>SUMIFS('Таблица общая'!T$6:T$159,'Таблица общая'!A$6:A$159,B60)/COUNTIFS('Таблица общая'!A$6:A$159,B60,'Таблица общая'!A$6:A$159,"&gt;0")</f>
        <v>10.129032258064516</v>
      </c>
    </row>
    <row r="61" spans="2:18">
      <c r="B61" s="113">
        <f>Список!L75</f>
        <v>70</v>
      </c>
      <c r="C61" s="112">
        <f>Список!O75</f>
        <v>9</v>
      </c>
      <c r="D61" s="114" t="str">
        <f>Список!M75</f>
        <v>Сорокина М. В.</v>
      </c>
      <c r="E61" s="114" t="str">
        <f>Список!N75</f>
        <v>Русский язык НШ</v>
      </c>
      <c r="F61" s="112">
        <f>SUMIF('Таблица общая'!$A$6:$A$159,"70",'Таблица общая'!G$6:G$159)</f>
        <v>31</v>
      </c>
      <c r="G61" s="112">
        <f>SUMIF('Таблица общая'!$A$6:$A$159,"70",'Таблица общая'!H$6:H$159)</f>
        <v>21</v>
      </c>
      <c r="H61" s="112">
        <f>SUMIF('Таблица общая'!$A$6:$A$159,"70",'Таблица общая'!I$6:I$159)</f>
        <v>10</v>
      </c>
      <c r="I61" s="112">
        <f>SUMIF('Таблица общая'!$A$6:$A$159,"70",'Таблица общая'!J$6:J$159)</f>
        <v>0</v>
      </c>
      <c r="J61" s="112">
        <f>SUMIF('Таблица общая'!$A$6:$A$159,"70",'Таблица общая'!K$6:K$159)</f>
        <v>0</v>
      </c>
      <c r="K61" s="112">
        <f>SUMIF('Таблица общая'!$A$6:$A$159,"70",'Таблица общая'!L$6:L$159)</f>
        <v>0</v>
      </c>
      <c r="L61" s="112">
        <f>SUMIF('Таблица общая'!$A$6:$A$159,"70",'Таблица общая'!M$6:M$159)</f>
        <v>0</v>
      </c>
      <c r="M61" s="115">
        <f t="shared" si="5"/>
        <v>4.67741935483871</v>
      </c>
      <c r="N61" s="116">
        <f t="shared" si="6"/>
        <v>1</v>
      </c>
      <c r="O61" s="116">
        <f t="shared" si="7"/>
        <v>1</v>
      </c>
      <c r="P61" s="116">
        <f t="shared" si="8"/>
        <v>0.88387096774193541</v>
      </c>
      <c r="Q61" s="116">
        <f t="shared" si="9"/>
        <v>0.93548387096774188</v>
      </c>
      <c r="R61" s="115">
        <f>SUMIFS('Таблица общая'!T$6:T$159,'Таблица общая'!A$6:A$159,B61)/COUNTIFS('Таблица общая'!A$6:A$159,B61,'Таблица общая'!A$6:A$159,"&gt;0")</f>
        <v>11.67741935483871</v>
      </c>
    </row>
    <row r="62" spans="2:18">
      <c r="B62" s="113">
        <f>Список!L76</f>
        <v>71</v>
      </c>
      <c r="C62" s="112">
        <f>Список!O76</f>
        <v>3</v>
      </c>
      <c r="D62" s="114" t="str">
        <f>Список!M76</f>
        <v xml:space="preserve">Тулинов Н. И. </v>
      </c>
      <c r="E62" s="114" t="str">
        <f>Список!N76</f>
        <v>Алгебра</v>
      </c>
      <c r="F62" s="112">
        <f>SUMIF('Таблица общая'!$A$6:$A$159,"71",'Таблица общая'!G$6:G$159)</f>
        <v>31</v>
      </c>
      <c r="G62" s="112">
        <f>SUMIF('Таблица общая'!$A$6:$A$159,"71",'Таблица общая'!H$6:H$159)</f>
        <v>8</v>
      </c>
      <c r="H62" s="112">
        <f>SUMIF('Таблица общая'!$A$6:$A$159,"71",'Таблица общая'!I$6:I$159)</f>
        <v>16</v>
      </c>
      <c r="I62" s="112">
        <f>SUMIF('Таблица общая'!$A$6:$A$159,"71",'Таблица общая'!J$6:J$159)</f>
        <v>7</v>
      </c>
      <c r="J62" s="112">
        <f>SUMIF('Таблица общая'!$A$6:$A$159,"71",'Таблица общая'!K$6:K$159)</f>
        <v>0</v>
      </c>
      <c r="K62" s="112">
        <f>SUMIF('Таблица общая'!$A$6:$A$159,"71",'Таблица общая'!L$6:L$159)</f>
        <v>0</v>
      </c>
      <c r="L62" s="112">
        <f>SUMIF('Таблица общая'!$A$6:$A$159,"71",'Таблица общая'!M$6:M$159)</f>
        <v>0</v>
      </c>
      <c r="M62" s="115">
        <f t="shared" si="5"/>
        <v>4.032258064516129</v>
      </c>
      <c r="N62" s="116">
        <f t="shared" si="6"/>
        <v>1</v>
      </c>
      <c r="O62" s="116">
        <f t="shared" si="7"/>
        <v>0.77419354838709675</v>
      </c>
      <c r="P62" s="116">
        <f t="shared" si="8"/>
        <v>0.66967741935483871</v>
      </c>
      <c r="Q62" s="116">
        <f t="shared" si="9"/>
        <v>0.67096774193548392</v>
      </c>
      <c r="R62" s="115">
        <f>SUMIFS('Таблица общая'!T$6:T$159,'Таблица общая'!A$6:A$159,B62)/COUNTIFS('Таблица общая'!A$6:A$159,B62,'Таблица общая'!A$6:A$159,"&gt;0")</f>
        <v>4.032258064516129</v>
      </c>
    </row>
    <row r="63" spans="2:18">
      <c r="B63" s="113">
        <f>Список!L77</f>
        <v>72</v>
      </c>
      <c r="C63" s="112">
        <f>Список!O77</f>
        <v>3</v>
      </c>
      <c r="D63" s="114" t="str">
        <f>Список!M77</f>
        <v xml:space="preserve">Тулинов Н. И. </v>
      </c>
      <c r="E63" s="114" t="str">
        <f>Список!N77</f>
        <v>Математика</v>
      </c>
      <c r="F63" s="112">
        <f>SUMIF('Таблица общая'!$A$6:$A$159,"72",'Таблица общая'!G$6:G$159)</f>
        <v>51</v>
      </c>
      <c r="G63" s="112">
        <f>SUMIF('Таблица общая'!$A$6:$A$159,"72",'Таблица общая'!H$6:H$159)</f>
        <v>14</v>
      </c>
      <c r="H63" s="112">
        <f>SUMIF('Таблица общая'!$A$6:$A$159,"72",'Таблица общая'!I$6:I$159)</f>
        <v>19</v>
      </c>
      <c r="I63" s="112">
        <f>SUMIF('Таблица общая'!$A$6:$A$159,"72",'Таблица общая'!J$6:J$159)</f>
        <v>18</v>
      </c>
      <c r="J63" s="112">
        <f>SUMIF('Таблица общая'!$A$6:$A$159,"72",'Таблица общая'!K$6:K$159)</f>
        <v>0</v>
      </c>
      <c r="K63" s="112">
        <f>SUMIF('Таблица общая'!$A$6:$A$159,"72",'Таблица общая'!L$6:L$159)</f>
        <v>0</v>
      </c>
      <c r="L63" s="112">
        <f>SUMIF('Таблица общая'!$A$6:$A$159,"72",'Таблица общая'!M$6:M$159)</f>
        <v>0</v>
      </c>
      <c r="M63" s="115">
        <f t="shared" si="5"/>
        <v>3.9215686274509802</v>
      </c>
      <c r="N63" s="116">
        <f t="shared" si="6"/>
        <v>1</v>
      </c>
      <c r="O63" s="116">
        <f t="shared" si="7"/>
        <v>0.6470588235294118</v>
      </c>
      <c r="P63" s="116">
        <f t="shared" si="8"/>
        <v>0.64</v>
      </c>
      <c r="Q63" s="116">
        <f t="shared" si="9"/>
        <v>0.5725490196078431</v>
      </c>
      <c r="R63" s="115">
        <f>SUMIFS('Таблица общая'!T$6:T$159,'Таблица общая'!A$6:A$159,B63)/COUNTIFS('Таблица общая'!A$6:A$159,B63,'Таблица общая'!A$6:A$159,"&gt;0")</f>
        <v>7.1536172161172162</v>
      </c>
    </row>
    <row r="64" spans="2:18">
      <c r="B64" s="113">
        <f>Список!L79</f>
        <v>74</v>
      </c>
      <c r="C64" s="112">
        <f>Список!O79</f>
        <v>9</v>
      </c>
      <c r="D64" s="114" t="str">
        <f>Список!M79</f>
        <v>Юркова М. Ю.</v>
      </c>
      <c r="E64" s="114" t="str">
        <f>Список!N79</f>
        <v>Литература НШ</v>
      </c>
      <c r="F64" s="112">
        <f>SUMIF('Таблица общая'!$A$6:$A$159,"74",'Таблица общая'!G$6:G$159)</f>
        <v>56</v>
      </c>
      <c r="G64" s="112">
        <f>SUMIF('Таблица общая'!$A$6:$A$159,"74",'Таблица общая'!H$6:H$159)</f>
        <v>23</v>
      </c>
      <c r="H64" s="112">
        <f>SUMIF('Таблица общая'!$A$6:$A$159,"74",'Таблица общая'!I$6:I$159)</f>
        <v>13</v>
      </c>
      <c r="I64" s="112">
        <f>SUMIF('Таблица общая'!$A$6:$A$159,"74",'Таблица общая'!J$6:J$159)</f>
        <v>20</v>
      </c>
      <c r="J64" s="112">
        <f>SUMIF('Таблица общая'!$A$6:$A$159,"74",'Таблица общая'!K$6:K$159)</f>
        <v>0</v>
      </c>
      <c r="K64" s="112">
        <f>SUMIF('Таблица общая'!$A$6:$A$159,"74",'Таблица общая'!L$6:L$159)</f>
        <v>0</v>
      </c>
      <c r="L64" s="112">
        <f>SUMIF('Таблица общая'!$A$6:$A$159,"74",'Таблица общая'!M$6:M$159)</f>
        <v>0</v>
      </c>
      <c r="M64" s="115">
        <f t="shared" si="5"/>
        <v>4.0535714285714288</v>
      </c>
      <c r="N64" s="116">
        <f t="shared" si="6"/>
        <v>1</v>
      </c>
      <c r="O64" s="116">
        <f t="shared" si="7"/>
        <v>0.6428571428571429</v>
      </c>
      <c r="P64" s="116">
        <f t="shared" si="8"/>
        <v>0.68785714285714283</v>
      </c>
      <c r="Q64" s="116">
        <f t="shared" si="9"/>
        <v>0.59642857142857142</v>
      </c>
      <c r="R64" s="115">
        <f>SUMIFS('Таблица общая'!T$6:T$159,'Таблица общая'!A$6:A$159,B64)/COUNTIFS('Таблица общая'!A$6:A$159,B64,'Таблица общая'!A$6:A$159,"&gt;0")</f>
        <v>4.0338441890166026</v>
      </c>
    </row>
    <row r="65" spans="2:18">
      <c r="B65" s="113">
        <f>Список!L80</f>
        <v>75</v>
      </c>
      <c r="C65" s="112">
        <f>Список!O80</f>
        <v>9</v>
      </c>
      <c r="D65" s="114" t="str">
        <f>Список!M80</f>
        <v>Юркова М. Ю.</v>
      </c>
      <c r="E65" s="114" t="str">
        <f>Список!N80</f>
        <v>Математика НШ</v>
      </c>
      <c r="F65" s="112">
        <f>SUMIF('Таблица общая'!$A$6:$A$159,"75",'Таблица общая'!G$6:G$159)</f>
        <v>56</v>
      </c>
      <c r="G65" s="112">
        <f>SUMIF('Таблица общая'!$A$6:$A$159,"75",'Таблица общая'!H$6:H$159)</f>
        <v>5</v>
      </c>
      <c r="H65" s="112">
        <f>SUMIF('Таблица общая'!$A$6:$A$159,"75",'Таблица общая'!I$6:I$159)</f>
        <v>20</v>
      </c>
      <c r="I65" s="112">
        <f>SUMIF('Таблица общая'!$A$6:$A$159,"75",'Таблица общая'!J$6:J$159)</f>
        <v>31</v>
      </c>
      <c r="J65" s="112">
        <f>SUMIF('Таблица общая'!$A$6:$A$159,"75",'Таблица общая'!K$6:K$159)</f>
        <v>0</v>
      </c>
      <c r="K65" s="112">
        <f>SUMIF('Таблица общая'!$A$6:$A$159,"75",'Таблица общая'!L$6:L$159)</f>
        <v>0</v>
      </c>
      <c r="L65" s="112">
        <f>SUMIF('Таблица общая'!$A$6:$A$159,"75",'Таблица общая'!M$6:M$159)</f>
        <v>0</v>
      </c>
      <c r="M65" s="115">
        <f t="shared" si="5"/>
        <v>3.5357142857142856</v>
      </c>
      <c r="N65" s="116">
        <f t="shared" si="6"/>
        <v>1</v>
      </c>
      <c r="O65" s="116">
        <f t="shared" si="7"/>
        <v>0.44642857142857145</v>
      </c>
      <c r="P65" s="116">
        <f t="shared" si="8"/>
        <v>0.51714285714285713</v>
      </c>
      <c r="Q65" s="116">
        <f t="shared" si="9"/>
        <v>0.375</v>
      </c>
      <c r="R65" s="115">
        <f>SUMIFS('Таблица общая'!T$6:T$159,'Таблица общая'!A$6:A$159,B65)/COUNTIFS('Таблица общая'!A$6:A$159,B65,'Таблица общая'!A$6:A$159,"&gt;0")</f>
        <v>3.5261813537675604</v>
      </c>
    </row>
    <row r="66" spans="2:18">
      <c r="B66" s="113">
        <f>Список!L81</f>
        <v>76</v>
      </c>
      <c r="C66" s="112">
        <f>Список!O81</f>
        <v>9</v>
      </c>
      <c r="D66" s="114" t="str">
        <f>Список!M81</f>
        <v>Юркова М. Ю.</v>
      </c>
      <c r="E66" s="114" t="str">
        <f>Список!N81</f>
        <v>Естествознание НШ</v>
      </c>
      <c r="F66" s="112">
        <f>SUMIF('Таблица общая'!$A$6:$A$159,"76",'Таблица общая'!G$6:G$159)</f>
        <v>54</v>
      </c>
      <c r="G66" s="112">
        <f>SUMIF('Таблица общая'!$A$6:$A$159,"76",'Таблица общая'!H$6:H$159)</f>
        <v>16</v>
      </c>
      <c r="H66" s="112">
        <f>SUMIF('Таблица общая'!$A$6:$A$159,"76",'Таблица общая'!I$6:I$159)</f>
        <v>20</v>
      </c>
      <c r="I66" s="112">
        <f>SUMIF('Таблица общая'!$A$6:$A$159,"76",'Таблица общая'!J$6:J$159)</f>
        <v>18</v>
      </c>
      <c r="J66" s="112">
        <f>SUMIF('Таблица общая'!$A$6:$A$159,"76",'Таблица общая'!K$6:K$159)</f>
        <v>0</v>
      </c>
      <c r="K66" s="112">
        <f>SUMIF('Таблица общая'!$A$6:$A$159,"76",'Таблица общая'!L$6:L$159)</f>
        <v>0</v>
      </c>
      <c r="L66" s="112">
        <f>SUMIF('Таблица общая'!$A$6:$A$159,"76",'Таблица общая'!M$6:M$159)</f>
        <v>0</v>
      </c>
      <c r="M66" s="115">
        <f t="shared" si="5"/>
        <v>3.9629629629629628</v>
      </c>
      <c r="N66" s="116">
        <f t="shared" si="6"/>
        <v>1</v>
      </c>
      <c r="O66" s="116">
        <f t="shared" si="7"/>
        <v>0.66666666666666663</v>
      </c>
      <c r="P66" s="116">
        <f t="shared" si="8"/>
        <v>0.65333333333333332</v>
      </c>
      <c r="Q66" s="116">
        <f t="shared" si="9"/>
        <v>0.59259259259259256</v>
      </c>
      <c r="R66" s="115">
        <f>SUMIFS('Таблица общая'!T$6:T$159,'Таблица общая'!A$6:A$159,B66)/COUNTIFS('Таблица общая'!A$6:A$159,B66,'Таблица общая'!A$6:A$159,"&gt;0")</f>
        <v>3.9976742007992003</v>
      </c>
    </row>
    <row r="67" spans="2:18">
      <c r="B67" s="113">
        <f>Список!L82</f>
        <v>77</v>
      </c>
      <c r="C67" s="112">
        <f>Список!O82</f>
        <v>9</v>
      </c>
      <c r="D67" s="114" t="str">
        <f>Список!M82</f>
        <v>Юркова М. Ю.</v>
      </c>
      <c r="E67" s="114" t="str">
        <f>Список!N82</f>
        <v>Русский язык НШ</v>
      </c>
      <c r="F67" s="112">
        <f>SUMIF('Таблица общая'!$A$6:$A$159,"77",'Таблица общая'!G$6:G$159)</f>
        <v>30</v>
      </c>
      <c r="G67" s="112">
        <f>SUMIF('Таблица общая'!$A$6:$A$159,"77",'Таблица общая'!H$6:H$159)</f>
        <v>10</v>
      </c>
      <c r="H67" s="112">
        <f>SUMIF('Таблица общая'!$A$6:$A$159,"77",'Таблица общая'!I$6:I$159)</f>
        <v>14</v>
      </c>
      <c r="I67" s="112">
        <f>SUMIF('Таблица общая'!$A$6:$A$159,"77",'Таблица общая'!J$6:J$159)</f>
        <v>5</v>
      </c>
      <c r="J67" s="112">
        <f>SUMIF('Таблица общая'!$A$6:$A$159,"77",'Таблица общая'!K$6:K$159)</f>
        <v>0</v>
      </c>
      <c r="K67" s="112">
        <f>SUMIF('Таблица общая'!$A$6:$A$159,"77",'Таблица общая'!L$6:L$159)</f>
        <v>1</v>
      </c>
      <c r="L67" s="112">
        <f>SUMIF('Таблица общая'!$A$6:$A$159,"77",'Таблица общая'!M$6:M$159)</f>
        <v>0</v>
      </c>
      <c r="M67" s="115">
        <f t="shared" si="5"/>
        <v>4.0333333333333332</v>
      </c>
      <c r="N67" s="116">
        <f t="shared" si="6"/>
        <v>0.96666666666666667</v>
      </c>
      <c r="O67" s="116">
        <f t="shared" si="7"/>
        <v>0.8</v>
      </c>
      <c r="P67" s="116">
        <f t="shared" si="8"/>
        <v>0.69200000000000006</v>
      </c>
      <c r="Q67" s="116">
        <f t="shared" si="9"/>
        <v>0.70666666666666667</v>
      </c>
      <c r="R67" s="115">
        <f>SUMIFS('Таблица общая'!T$6:T$159,'Таблица общая'!A$6:A$159,B67)/COUNTIFS('Таблица общая'!A$6:A$159,B67,'Таблица общая'!A$6:A$159,"&gt;0")</f>
        <v>3.833333333333333</v>
      </c>
    </row>
    <row r="68" spans="2:18">
      <c r="B68" s="113">
        <f>Список!L83</f>
        <v>78</v>
      </c>
      <c r="C68" s="112">
        <f>Список!O83</f>
        <v>4</v>
      </c>
      <c r="D68" s="114" t="str">
        <f>Список!M83</f>
        <v>Ящук Е. Ю.</v>
      </c>
      <c r="E68" s="114" t="str">
        <f>Список!N83</f>
        <v>История</v>
      </c>
      <c r="F68" s="112">
        <f>SUMIF('Таблица общая'!$A$6:$A$159,"78",'Таблица общая'!G$6:G$159)</f>
        <v>59</v>
      </c>
      <c r="G68" s="112">
        <f>SUMIF('Таблица общая'!$A$6:$A$159,"78",'Таблица общая'!H$6:H$159)</f>
        <v>2</v>
      </c>
      <c r="H68" s="112">
        <f>SUMIF('Таблица общая'!$A$6:$A$159,"78",'Таблица общая'!I$6:I$159)</f>
        <v>26</v>
      </c>
      <c r="I68" s="112">
        <f>SUMIF('Таблица общая'!$A$6:$A$159,"78",'Таблица общая'!J$6:J$159)</f>
        <v>30</v>
      </c>
      <c r="J68" s="112">
        <f>SUMIF('Таблица общая'!$A$6:$A$159,"78",'Таблица общая'!K$6:K$159)</f>
        <v>0</v>
      </c>
      <c r="K68" s="112">
        <f>SUMIF('Таблица общая'!$A$6:$A$159,"78",'Таблица общая'!L$6:L$159)</f>
        <v>1</v>
      </c>
      <c r="L68" s="112">
        <f>SUMIF('Таблица общая'!$A$6:$A$159,"78",'Таблица общая'!M$6:M$159)</f>
        <v>0</v>
      </c>
      <c r="M68" s="115">
        <f t="shared" si="5"/>
        <v>3.4576271186440679</v>
      </c>
      <c r="N68" s="116">
        <f t="shared" si="6"/>
        <v>0.98305084745762716</v>
      </c>
      <c r="O68" s="116">
        <f t="shared" si="7"/>
        <v>0.47457627118644069</v>
      </c>
      <c r="P68" s="116">
        <f t="shared" si="8"/>
        <v>0.49898305084745759</v>
      </c>
      <c r="Q68" s="116">
        <f t="shared" si="9"/>
        <v>0.38644067796610171</v>
      </c>
      <c r="R68" s="115">
        <f>SUMIFS('Таблица общая'!T$6:T$159,'Таблица общая'!A$6:A$159,B68)/COUNTIFS('Таблица общая'!A$6:A$159,B68,'Таблица общая'!A$6:A$159,"&gt;0")</f>
        <v>9.855747126436782</v>
      </c>
    </row>
    <row r="69" spans="2:18">
      <c r="B69" s="113">
        <f>Список!L84</f>
        <v>79</v>
      </c>
      <c r="C69" s="112">
        <f>Список!O84</f>
        <v>4</v>
      </c>
      <c r="D69" s="114" t="str">
        <f>Список!M84</f>
        <v>Ящук Е. Ю.</v>
      </c>
      <c r="E69" s="114" t="str">
        <f>Список!N84</f>
        <v>Обществознание</v>
      </c>
      <c r="F69" s="112">
        <f>SUMIF('Таблица общая'!$A$6:$A$159,"79",'Таблица общая'!G$6:G$159)</f>
        <v>30</v>
      </c>
      <c r="G69" s="112">
        <f>SUMIF('Таблица общая'!$A$6:$A$159,"79",'Таблица общая'!H$6:H$159)</f>
        <v>26</v>
      </c>
      <c r="H69" s="112">
        <f>SUMIF('Таблица общая'!$A$6:$A$159,"79",'Таблица общая'!I$6:I$159)</f>
        <v>4</v>
      </c>
      <c r="I69" s="112">
        <f>SUMIF('Таблица общая'!$A$6:$A$159,"79",'Таблица общая'!J$6:J$159)</f>
        <v>0</v>
      </c>
      <c r="J69" s="112">
        <f>SUMIF('Таблица общая'!$A$6:$A$159,"79",'Таблица общая'!K$6:K$159)</f>
        <v>0</v>
      </c>
      <c r="K69" s="112">
        <f>SUMIF('Таблица общая'!$A$6:$A$159,"79",'Таблица общая'!L$6:L$159)</f>
        <v>0</v>
      </c>
      <c r="L69" s="112">
        <f>SUMIF('Таблица общая'!$A$6:$A$159,"79",'Таблица общая'!M$6:M$159)</f>
        <v>0</v>
      </c>
      <c r="M69" s="115">
        <f t="shared" si="5"/>
        <v>4.8666666666666663</v>
      </c>
      <c r="N69" s="116">
        <f t="shared" si="6"/>
        <v>1</v>
      </c>
      <c r="O69" s="116">
        <f t="shared" si="7"/>
        <v>1</v>
      </c>
      <c r="P69" s="116">
        <f t="shared" si="8"/>
        <v>0.95199999999999996</v>
      </c>
      <c r="Q69" s="116">
        <f t="shared" si="9"/>
        <v>0.97333333333333338</v>
      </c>
      <c r="R69" s="115">
        <f>SUMIFS('Таблица общая'!T$6:T$159,'Таблица общая'!A$6:A$159,B69)/COUNTIFS('Таблица общая'!A$6:A$159,B69,'Таблица общая'!A$6:A$159,"&gt;0")</f>
        <v>4.8666666666666663</v>
      </c>
    </row>
    <row r="70" spans="2:18">
      <c r="B70" s="113">
        <f>Список!L85</f>
        <v>80</v>
      </c>
      <c r="C70" s="112" t="str">
        <f>Список!O85</f>
        <v/>
      </c>
      <c r="D70" s="114">
        <f>Список!M85</f>
        <v>0</v>
      </c>
      <c r="E70" s="114">
        <f>Список!N85</f>
        <v>0</v>
      </c>
      <c r="F70" s="112">
        <f>SUMIF('Таблица общая'!$A$6:$A$159,"80",'Таблица общая'!G$6:G$159)</f>
        <v>0</v>
      </c>
      <c r="G70" s="112">
        <f>SUMIF('Таблица общая'!$A$6:$A$159,"80",'Таблица общая'!H$6:H$159)</f>
        <v>0</v>
      </c>
      <c r="H70" s="112">
        <f>SUMIF('Таблица общая'!$A$6:$A$159,"80",'Таблица общая'!I$6:I$159)</f>
        <v>0</v>
      </c>
      <c r="I70" s="112">
        <f>SUMIF('Таблица общая'!$A$6:$A$159,"80",'Таблица общая'!J$6:J$159)</f>
        <v>0</v>
      </c>
      <c r="J70" s="112">
        <f>SUMIF('Таблица общая'!$A$6:$A$159,"80",'Таблица общая'!K$6:K$159)</f>
        <v>0</v>
      </c>
      <c r="K70" s="112">
        <f>SUMIF('Таблица общая'!$A$6:$A$159,"80",'Таблица общая'!L$6:L$159)</f>
        <v>0</v>
      </c>
      <c r="L70" s="112">
        <f>SUMIF('Таблица общая'!$A$6:$A$159,"80",'Таблица общая'!M$6:M$159)</f>
        <v>0</v>
      </c>
      <c r="M70" s="115" t="e">
        <f t="shared" si="5"/>
        <v>#DIV/0!</v>
      </c>
      <c r="N70" s="116" t="e">
        <f t="shared" si="6"/>
        <v>#DIV/0!</v>
      </c>
      <c r="O70" s="116" t="e">
        <f t="shared" si="7"/>
        <v>#DIV/0!</v>
      </c>
      <c r="P70" s="116" t="e">
        <f t="shared" si="8"/>
        <v>#DIV/0!</v>
      </c>
      <c r="Q70" s="116" t="e">
        <f t="shared" si="9"/>
        <v>#DIV/0!</v>
      </c>
      <c r="R70" s="115" t="e">
        <f>SUMIFS('Таблица общая'!T$6:T$159,'Таблица общая'!A$6:A$159,B70)/COUNTIFS('Таблица общая'!A$6:A$159,B70,'Таблица общая'!A$6:A$159,"&gt;0")</f>
        <v>#DIV/0!</v>
      </c>
    </row>
  </sheetData>
  <sheetProtection sheet="1" objects="1" scenarios="1" formatCells="0" formatColumns="0" formatRows="0" autoFilter="0"/>
  <autoFilter ref="B5:Q70"/>
  <mergeCells count="17">
    <mergeCell ref="B3:B4"/>
    <mergeCell ref="D3:D4"/>
    <mergeCell ref="E3:E4"/>
    <mergeCell ref="F3:F4"/>
    <mergeCell ref="K3:K4"/>
    <mergeCell ref="C3:C4"/>
    <mergeCell ref="R3:R4"/>
    <mergeCell ref="D1:Q1"/>
    <mergeCell ref="N3:N4"/>
    <mergeCell ref="O3:O4"/>
    <mergeCell ref="D2:E2"/>
    <mergeCell ref="N2:Q2"/>
    <mergeCell ref="P3:P4"/>
    <mergeCell ref="Q3:Q4"/>
    <mergeCell ref="G3:J3"/>
    <mergeCell ref="L3:L4"/>
    <mergeCell ref="M3:M4"/>
  </mergeCells>
  <phoneticPr fontId="0" type="noConversion"/>
  <conditionalFormatting sqref="O6:O70">
    <cfRule type="cellIs" dxfId="38" priority="14" stopIfTrue="1" operator="greaterThanOrEqual">
      <formula>0.75</formula>
    </cfRule>
    <cfRule type="cellIs" dxfId="37" priority="15" stopIfTrue="1" operator="between">
      <formula>0.33</formula>
      <formula>0.75</formula>
    </cfRule>
    <cfRule type="cellIs" dxfId="36" priority="16" stopIfTrue="1" operator="between">
      <formula>0</formula>
      <formula>0.33</formula>
    </cfRule>
  </conditionalFormatting>
  <conditionalFormatting sqref="P6:P70">
    <cfRule type="cellIs" dxfId="35" priority="17" stopIfTrue="1" operator="greaterThanOrEqual">
      <formula>0.8</formula>
    </cfRule>
    <cfRule type="cellIs" dxfId="34" priority="18" stopIfTrue="1" operator="between">
      <formula>0.6</formula>
      <formula>0.8</formula>
    </cfRule>
    <cfRule type="cellIs" dxfId="33" priority="19" stopIfTrue="1" operator="between">
      <formula>0</formula>
      <formula>0.6</formula>
    </cfRule>
  </conditionalFormatting>
  <conditionalFormatting sqref="Q6:Q70">
    <cfRule type="cellIs" dxfId="32" priority="20" stopIfTrue="1" operator="greaterThanOrEqual">
      <formula>0.85</formula>
    </cfRule>
    <cfRule type="cellIs" dxfId="31" priority="21" stopIfTrue="1" operator="between">
      <formula>0.5</formula>
      <formula>0.85</formula>
    </cfRule>
    <cfRule type="cellIs" dxfId="30" priority="22" stopIfTrue="1" operator="between">
      <formula>0</formula>
      <formula>0.5</formula>
    </cfRule>
  </conditionalFormatting>
  <conditionalFormatting sqref="B6:L70">
    <cfRule type="cellIs" dxfId="29" priority="23" stopIfTrue="1" operator="notEqual">
      <formula>0</formula>
    </cfRule>
  </conditionalFormatting>
  <conditionalFormatting sqref="M6:M70">
    <cfRule type="cellIs" dxfId="28" priority="27" stopIfTrue="1" operator="lessThanOrEqual">
      <formula>3.3</formula>
    </cfRule>
    <cfRule type="cellIs" dxfId="27" priority="28" stopIfTrue="1" operator="between">
      <formula>3.3</formula>
      <formula>4</formula>
    </cfRule>
    <cfRule type="cellIs" dxfId="26" priority="29" stopIfTrue="1" operator="greaterThanOrEqual">
      <formula>4</formula>
    </cfRule>
  </conditionalFormatting>
  <conditionalFormatting sqref="N6:N70">
    <cfRule type="cellIs" dxfId="25" priority="30" stopIfTrue="1" operator="greaterThanOrEqual">
      <formula>0.99</formula>
    </cfRule>
    <cfRule type="cellIs" dxfId="24" priority="31" stopIfTrue="1" operator="between">
      <formula>0.95</formula>
      <formula>0.99</formula>
    </cfRule>
    <cfRule type="cellIs" dxfId="23" priority="32" stopIfTrue="1" operator="between">
      <formula>0</formula>
      <formula>0.95</formula>
    </cfRule>
  </conditionalFormatting>
  <conditionalFormatting sqref="R6:R70">
    <cfRule type="cellIs" dxfId="22" priority="1" operator="greaterThanOrEqual">
      <formula>10</formula>
    </cfRule>
    <cfRule type="cellIs" dxfId="21" priority="2" operator="between">
      <formula>5</formula>
      <formula>10</formula>
    </cfRule>
    <cfRule type="cellIs" dxfId="20" priority="3" operator="lessThanOrEqual">
      <formula>5</formula>
    </cfRule>
  </conditionalFormatting>
  <pageMargins left="0.17" right="0.15748031496062992" top="0.18" bottom="0.19" header="0.17" footer="0.15748031496062992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O61"/>
  <sheetViews>
    <sheetView showGridLines="0" showRowColHeaders="0" workbookViewId="0">
      <pane ySplit="5" topLeftCell="A6" activePane="bottomLeft" state="frozen"/>
      <selection activeCell="B5" sqref="B5:B104"/>
      <selection pane="bottomLeft" activeCell="A6" sqref="A6"/>
    </sheetView>
  </sheetViews>
  <sheetFormatPr defaultRowHeight="12.75"/>
  <cols>
    <col min="1" max="1" width="4.33203125" style="2" customWidth="1"/>
    <col min="2" max="2" width="20.33203125" style="67" customWidth="1"/>
    <col min="3" max="3" width="8.1640625" style="68" customWidth="1"/>
    <col min="4" max="7" width="5.33203125" style="68" customWidth="1"/>
    <col min="8" max="9" width="4.5" style="68" customWidth="1"/>
    <col min="10" max="10" width="7.5" style="68" customWidth="1"/>
    <col min="11" max="11" width="9" style="68" customWidth="1"/>
    <col min="12" max="12" width="9.33203125" style="68"/>
    <col min="13" max="13" width="8.5" style="68" customWidth="1"/>
    <col min="14" max="14" width="9.33203125" style="68"/>
    <col min="15" max="15" width="14.33203125" style="1" customWidth="1"/>
    <col min="16" max="16384" width="9.33203125" style="1"/>
  </cols>
  <sheetData>
    <row r="1" spans="1:15" ht="28.5" customHeight="1">
      <c r="A1" s="105" t="s">
        <v>72</v>
      </c>
      <c r="B1" s="215" t="str">
        <f>TRIM(Titul!$B3)</f>
        <v>Муниципальное бюджетное общеобразовательное учреждение: средняя общеобразовательная школа №123 Центрального р-на г.Ростова-на-Дону</v>
      </c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</row>
    <row r="2" spans="1:15" s="5" customFormat="1" ht="16.5" customHeight="1">
      <c r="A2" s="106"/>
      <c r="B2" s="107" t="str">
        <f>Titul!D5</f>
        <v>2011/12 учебный год</v>
      </c>
      <c r="C2" s="108"/>
      <c r="D2" s="109"/>
      <c r="E2" s="109"/>
      <c r="F2" s="109"/>
      <c r="G2" s="109"/>
      <c r="H2" s="109"/>
      <c r="I2" s="109"/>
      <c r="J2" s="109"/>
      <c r="K2" s="216" t="str">
        <f>Titul!D7</f>
        <v>1 четверть</v>
      </c>
      <c r="L2" s="216"/>
      <c r="M2" s="216"/>
      <c r="N2" s="216"/>
    </row>
    <row r="3" spans="1:15" ht="12.75" customHeight="1">
      <c r="A3" s="217"/>
      <c r="B3" s="205" t="s">
        <v>5</v>
      </c>
      <c r="C3" s="205" t="s">
        <v>8</v>
      </c>
      <c r="D3" s="219" t="s">
        <v>17</v>
      </c>
      <c r="E3" s="219"/>
      <c r="F3" s="219"/>
      <c r="G3" s="219"/>
      <c r="H3" s="205" t="s">
        <v>13</v>
      </c>
      <c r="I3" s="205" t="s">
        <v>14</v>
      </c>
      <c r="J3" s="205" t="s">
        <v>28</v>
      </c>
      <c r="K3" s="205" t="s">
        <v>15</v>
      </c>
      <c r="L3" s="205" t="s">
        <v>85</v>
      </c>
      <c r="M3" s="205" t="s">
        <v>31</v>
      </c>
      <c r="N3" s="205" t="s">
        <v>30</v>
      </c>
      <c r="O3" s="203" t="s">
        <v>144</v>
      </c>
    </row>
    <row r="4" spans="1:15" s="7" customFormat="1" ht="27.75" customHeight="1">
      <c r="A4" s="218"/>
      <c r="B4" s="206"/>
      <c r="C4" s="206"/>
      <c r="D4" s="110" t="s">
        <v>9</v>
      </c>
      <c r="E4" s="110" t="s">
        <v>10</v>
      </c>
      <c r="F4" s="110" t="s">
        <v>11</v>
      </c>
      <c r="G4" s="110" t="s">
        <v>12</v>
      </c>
      <c r="H4" s="206"/>
      <c r="I4" s="206"/>
      <c r="J4" s="206"/>
      <c r="K4" s="206"/>
      <c r="L4" s="206"/>
      <c r="M4" s="206"/>
      <c r="N4" s="206"/>
      <c r="O4" s="204"/>
    </row>
    <row r="5" spans="1:15" ht="12.75" customHeight="1">
      <c r="A5" s="121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7"/>
    </row>
    <row r="6" spans="1:15">
      <c r="A6" s="113">
        <f>Список!I7</f>
        <v>2</v>
      </c>
      <c r="B6" s="114" t="str">
        <f>Список!J7</f>
        <v>Алферова Н. М.</v>
      </c>
      <c r="C6" s="112">
        <f>SUMIF('Таблица Учитель-Предмет'!$D6:$D70,$B6,'Таблица Учитель-Предмет'!F6:F70)</f>
        <v>159</v>
      </c>
      <c r="D6" s="112">
        <f>SUMIF('Таблица Учитель-Предмет'!$D6:$D70,$B6,'Таблица Учитель-Предмет'!G6:G70)</f>
        <v>38</v>
      </c>
      <c r="E6" s="112">
        <f>SUMIF('Таблица Учитель-Предмет'!$D6:$D70,$B6,'Таблица Учитель-Предмет'!H6:H70)</f>
        <v>84</v>
      </c>
      <c r="F6" s="112">
        <f>SUMIF('Таблица Учитель-Предмет'!$D6:$D70,$B6,'Таблица Учитель-Предмет'!I6:I70)</f>
        <v>37</v>
      </c>
      <c r="G6" s="112">
        <f>SUMIF('Таблица Учитель-Предмет'!$D6:$D70,$B6,'Таблица Учитель-Предмет'!J6:J70)</f>
        <v>0</v>
      </c>
      <c r="H6" s="112">
        <f>SUMIF('Таблица Учитель-Предмет'!$D6:$D70,$B6,'Таблица Учитель-Предмет'!K6:K70)</f>
        <v>0</v>
      </c>
      <c r="I6" s="112">
        <f>SUMIF('Таблица Учитель-Предмет'!$D6:$D70,$B6,'Таблица Учитель-Предмет'!L6:L70)</f>
        <v>0</v>
      </c>
      <c r="J6" s="115">
        <f>(5*D6+4*E6+3*F6+2*G6)/(C6-I6)</f>
        <v>4.0062893081761004</v>
      </c>
      <c r="K6" s="116">
        <f>(SUM(D6:F6)/(C6-I6))</f>
        <v>1</v>
      </c>
      <c r="L6" s="116">
        <f>(SUM(D6:E6)/(C6-I6))</f>
        <v>0.76729559748427678</v>
      </c>
      <c r="M6" s="116">
        <f>(D6+E6*0.64+F6*0.36+G6*0.16)/(C6-I6)</f>
        <v>0.66088050314465396</v>
      </c>
      <c r="N6" s="116">
        <f>(5*D6+4*E6)/((C6-I6)*5)</f>
        <v>0.66163522012578613</v>
      </c>
      <c r="O6" s="115">
        <f>SUMIFS('Таблица общая'!T$6:T$159,'Таблица общая'!U$6:U$159,A6)/COUNTIF('Таблица общая'!U$6:U$159,A6)</f>
        <v>11.320253334871026</v>
      </c>
    </row>
    <row r="7" spans="1:15">
      <c r="A7" s="113">
        <f>Список!I8</f>
        <v>3</v>
      </c>
      <c r="B7" s="114" t="str">
        <f>Список!J8</f>
        <v>Белякова Ю. В.</v>
      </c>
      <c r="C7" s="112">
        <f>SUMIF('Таблица Учитель-Предмет'!$D7:$D70,$B7,'Таблица Учитель-Предмет'!F7:F70)</f>
        <v>41</v>
      </c>
      <c r="D7" s="112">
        <f>SUMIF('Таблица Учитель-Предмет'!$D7:$D70,$B7,'Таблица Учитель-Предмет'!G7:G70)</f>
        <v>6</v>
      </c>
      <c r="E7" s="112">
        <f>SUMIF('Таблица Учитель-Предмет'!$D7:$D70,$B7,'Таблица Учитель-Предмет'!H7:H70)</f>
        <v>20</v>
      </c>
      <c r="F7" s="112">
        <f>SUMIF('Таблица Учитель-Предмет'!$D7:$D70,$B7,'Таблица Учитель-Предмет'!I7:I70)</f>
        <v>14</v>
      </c>
      <c r="G7" s="112">
        <f>SUMIF('Таблица Учитель-Предмет'!$D7:$D70,$B7,'Таблица Учитель-Предмет'!J7:J70)</f>
        <v>0</v>
      </c>
      <c r="H7" s="112">
        <f>SUMIF('Таблица Учитель-Предмет'!$D7:$D70,$B7,'Таблица Учитель-Предмет'!K7:K70)</f>
        <v>1</v>
      </c>
      <c r="I7" s="112">
        <f>SUMIF('Таблица Учитель-Предмет'!$D7:$D70,$B7,'Таблица Учитель-Предмет'!L7:L70)</f>
        <v>0</v>
      </c>
      <c r="J7" s="115">
        <f t="shared" ref="J7:J36" si="0">(5*D7+4*E7+3*F7+2*G7)/(C7-I7)</f>
        <v>3.7073170731707319</v>
      </c>
      <c r="K7" s="116">
        <f t="shared" ref="K7:K36" si="1">(SUM(D7:F7)/(C7-I7))</f>
        <v>0.97560975609756095</v>
      </c>
      <c r="L7" s="116">
        <f t="shared" ref="L7:L36" si="2">(SUM(D7:E7)/(C7-I7))</f>
        <v>0.63414634146341464</v>
      </c>
      <c r="M7" s="116">
        <f t="shared" ref="M7:M36" si="3">(D7+E7*0.64+F7*0.36+G7*0.16)/(C7-I7)</f>
        <v>0.5814634146341463</v>
      </c>
      <c r="N7" s="116">
        <f t="shared" ref="N7:N36" si="4">(5*D7+4*E7)/((C7-I7)*5)</f>
        <v>0.53658536585365857</v>
      </c>
      <c r="O7" s="115">
        <f>SUMIFS('Таблица общая'!T$6:T$159,'Таблица общая'!U$6:U$159,A7)/COUNTIF('Таблица общая'!U$6:U$159,A7)</f>
        <v>10.64920634920635</v>
      </c>
    </row>
    <row r="8" spans="1:15">
      <c r="A8" s="113">
        <f>Список!I9</f>
        <v>4</v>
      </c>
      <c r="B8" s="114" t="str">
        <f>Список!J9</f>
        <v>Борисова М. А.</v>
      </c>
      <c r="C8" s="112">
        <f>SUMIF('Таблица Учитель-Предмет'!$D8:$D70,$B8,'Таблица Учитель-Предмет'!F8:F70)</f>
        <v>27</v>
      </c>
      <c r="D8" s="112">
        <f>SUMIF('Таблица Учитель-Предмет'!$D8:$D70,$B8,'Таблица Учитель-Предмет'!G8:G70)</f>
        <v>11</v>
      </c>
      <c r="E8" s="112">
        <f>SUMIF('Таблица Учитель-Предмет'!$D8:$D70,$B8,'Таблица Учитель-Предмет'!H8:H70)</f>
        <v>13</v>
      </c>
      <c r="F8" s="112">
        <f>SUMIF('Таблица Учитель-Предмет'!$D8:$D70,$B8,'Таблица Учитель-Предмет'!I8:I70)</f>
        <v>3</v>
      </c>
      <c r="G8" s="112">
        <f>SUMIF('Таблица Учитель-Предмет'!$D8:$D70,$B8,'Таблица Учитель-Предмет'!J8:J70)</f>
        <v>0</v>
      </c>
      <c r="H8" s="112">
        <f>SUMIF('Таблица Учитель-Предмет'!$D8:$D70,$B8,'Таблица Учитель-Предмет'!K8:K70)</f>
        <v>0</v>
      </c>
      <c r="I8" s="112">
        <f>SUMIF('Таблица Учитель-Предмет'!$D8:$D70,$B8,'Таблица Учитель-Предмет'!L8:L70)</f>
        <v>0</v>
      </c>
      <c r="J8" s="115">
        <f t="shared" si="0"/>
        <v>4.2962962962962967</v>
      </c>
      <c r="K8" s="116">
        <f t="shared" si="1"/>
        <v>1</v>
      </c>
      <c r="L8" s="116">
        <f t="shared" si="2"/>
        <v>0.88888888888888884</v>
      </c>
      <c r="M8" s="116">
        <f t="shared" si="3"/>
        <v>0.75555555555555554</v>
      </c>
      <c r="N8" s="116">
        <f t="shared" si="4"/>
        <v>0.79259259259259263</v>
      </c>
      <c r="O8" s="115">
        <f>SUMIFS('Таблица общая'!T$6:T$159,'Таблица общая'!U$6:U$159,A8)/COUNTIF('Таблица общая'!U$6:U$159,A8)</f>
        <v>4.2962962962962967</v>
      </c>
    </row>
    <row r="9" spans="1:15">
      <c r="A9" s="113">
        <f>Список!I10</f>
        <v>5</v>
      </c>
      <c r="B9" s="114" t="str">
        <f>Список!J10</f>
        <v>Ващенко Л. Ю.</v>
      </c>
      <c r="C9" s="112">
        <f>SUMIF('Таблица Учитель-Предмет'!$D9:$D70,$B9,'Таблица Учитель-Предмет'!F9:F70)</f>
        <v>256</v>
      </c>
      <c r="D9" s="112">
        <f>SUMIF('Таблица Учитель-Предмет'!$D9:$D70,$B9,'Таблица Учитель-Предмет'!G9:G70)</f>
        <v>104</v>
      </c>
      <c r="E9" s="112">
        <f>SUMIF('Таблица Учитель-Предмет'!$D9:$D70,$B9,'Таблица Учитель-Предмет'!H9:H70)</f>
        <v>117</v>
      </c>
      <c r="F9" s="112">
        <f>SUMIF('Таблица Учитель-Предмет'!$D9:$D70,$B9,'Таблица Учитель-Предмет'!I9:I70)</f>
        <v>35</v>
      </c>
      <c r="G9" s="112">
        <f>SUMIF('Таблица Учитель-Предмет'!$D9:$D70,$B9,'Таблица Учитель-Предмет'!J9:J70)</f>
        <v>0</v>
      </c>
      <c r="H9" s="112">
        <f>SUMIF('Таблица Учитель-Предмет'!$D9:$D70,$B9,'Таблица Учитель-Предмет'!K9:K70)</f>
        <v>0</v>
      </c>
      <c r="I9" s="112">
        <f>SUMIF('Таблица Учитель-Предмет'!$D9:$D70,$B9,'Таблица Учитель-Предмет'!L9:L70)</f>
        <v>0</v>
      </c>
      <c r="J9" s="115">
        <f t="shared" si="0"/>
        <v>4.26953125</v>
      </c>
      <c r="K9" s="116">
        <f t="shared" si="1"/>
        <v>1</v>
      </c>
      <c r="L9" s="116">
        <f t="shared" si="2"/>
        <v>0.86328125</v>
      </c>
      <c r="M9" s="116">
        <f t="shared" si="3"/>
        <v>0.74796874999999996</v>
      </c>
      <c r="N9" s="116">
        <f t="shared" si="4"/>
        <v>0.77187499999999998</v>
      </c>
      <c r="O9" s="115">
        <f>SUMIFS('Таблица общая'!T$6:T$159,'Таблица общая'!U$6:U$159,A9)/COUNTIF('Таблица общая'!U$6:U$159,A9)</f>
        <v>5.8265992497731469</v>
      </c>
    </row>
    <row r="10" spans="1:15">
      <c r="A10" s="113">
        <f>Список!I11</f>
        <v>6</v>
      </c>
      <c r="B10" s="114" t="str">
        <f>Список!J11</f>
        <v>Гладкая И В</v>
      </c>
      <c r="C10" s="112">
        <f>SUMIF('Таблица Учитель-Предмет'!$D10:$D70,$B10,'Таблица Учитель-Предмет'!F10:F70)</f>
        <v>95</v>
      </c>
      <c r="D10" s="112">
        <f>SUMIF('Таблица Учитель-Предмет'!$D10:$D70,$B10,'Таблица Учитель-Предмет'!G10:G70)</f>
        <v>61</v>
      </c>
      <c r="E10" s="112">
        <f>SUMIF('Таблица Учитель-Предмет'!$D10:$D70,$B10,'Таблица Учитель-Предмет'!H10:H70)</f>
        <v>30</v>
      </c>
      <c r="F10" s="112">
        <f>SUMIF('Таблица Учитель-Предмет'!$D10:$D70,$B10,'Таблица Учитель-Предмет'!I10:I70)</f>
        <v>4</v>
      </c>
      <c r="G10" s="112">
        <f>SUMIF('Таблица Учитель-Предмет'!$D10:$D70,$B10,'Таблица Учитель-Предмет'!J10:J70)</f>
        <v>0</v>
      </c>
      <c r="H10" s="112">
        <f>SUMIF('Таблица Учитель-Предмет'!$D10:$D70,$B10,'Таблица Учитель-Предмет'!K10:K70)</f>
        <v>0</v>
      </c>
      <c r="I10" s="112">
        <f>SUMIF('Таблица Учитель-Предмет'!$D10:$D70,$B10,'Таблица Учитель-Предмет'!L10:L70)</f>
        <v>0</v>
      </c>
      <c r="J10" s="115">
        <f t="shared" si="0"/>
        <v>4.5999999999999996</v>
      </c>
      <c r="K10" s="116">
        <f t="shared" si="1"/>
        <v>1</v>
      </c>
      <c r="L10" s="116">
        <f t="shared" si="2"/>
        <v>0.95789473684210524</v>
      </c>
      <c r="M10" s="116">
        <f t="shared" si="3"/>
        <v>0.85936842105263156</v>
      </c>
      <c r="N10" s="116">
        <f t="shared" si="4"/>
        <v>0.89473684210526316</v>
      </c>
      <c r="O10" s="115">
        <f>SUMIFS('Таблица общая'!T$6:T$159,'Таблица общая'!U$6:U$159,A10)/COUNTIF('Таблица общая'!U$6:U$159,A10)</f>
        <v>9.3035714285714288</v>
      </c>
    </row>
    <row r="11" spans="1:15">
      <c r="A11" s="113">
        <f>Список!I12</f>
        <v>7</v>
      </c>
      <c r="B11" s="114" t="str">
        <f>Список!J12</f>
        <v>Даниленко И. Н.</v>
      </c>
      <c r="C11" s="112">
        <f>SUMIF('Таблица Учитель-Предмет'!$D11:$D70,$B11,'Таблица Учитель-Предмет'!F11:F70)</f>
        <v>167</v>
      </c>
      <c r="D11" s="112">
        <f>SUMIF('Таблица Учитель-Предмет'!$D11:$D70,$B11,'Таблица Учитель-Предмет'!G11:G70)</f>
        <v>41</v>
      </c>
      <c r="E11" s="112">
        <f>SUMIF('Таблица Учитель-Предмет'!$D11:$D70,$B11,'Таблица Учитель-Предмет'!H11:H70)</f>
        <v>92</v>
      </c>
      <c r="F11" s="112">
        <f>SUMIF('Таблица Учитель-Предмет'!$D11:$D70,$B11,'Таблица Учитель-Предмет'!I11:I70)</f>
        <v>34</v>
      </c>
      <c r="G11" s="112">
        <f>SUMIF('Таблица Учитель-Предмет'!$D11:$D70,$B11,'Таблица Учитель-Предмет'!J11:J70)</f>
        <v>0</v>
      </c>
      <c r="H11" s="112">
        <f>SUMIF('Таблица Учитель-Предмет'!$D11:$D70,$B11,'Таблица Учитель-Предмет'!K11:K70)</f>
        <v>0</v>
      </c>
      <c r="I11" s="112">
        <f>SUMIF('Таблица Учитель-Предмет'!$D11:$D70,$B11,'Таблица Учитель-Предмет'!L11:L70)</f>
        <v>0</v>
      </c>
      <c r="J11" s="115">
        <f t="shared" si="0"/>
        <v>4.0419161676646711</v>
      </c>
      <c r="K11" s="116">
        <f t="shared" si="1"/>
        <v>1</v>
      </c>
      <c r="L11" s="116">
        <f t="shared" si="2"/>
        <v>0.79640718562874246</v>
      </c>
      <c r="M11" s="116">
        <f t="shared" si="3"/>
        <v>0.67137724550898192</v>
      </c>
      <c r="N11" s="116">
        <f t="shared" si="4"/>
        <v>0.68622754491017968</v>
      </c>
      <c r="O11" s="115">
        <f>SUMIFS('Таблица общая'!T$6:T$159,'Таблица общая'!U$6:U$159,A11)/COUNTIF('Таблица общая'!U$6:U$159,A11)</f>
        <v>8.3705348020434212</v>
      </c>
    </row>
    <row r="12" spans="1:15">
      <c r="A12" s="113">
        <f>Список!I13</f>
        <v>8</v>
      </c>
      <c r="B12" s="114" t="str">
        <f>Список!J13</f>
        <v>Зайцева Н. А.</v>
      </c>
      <c r="C12" s="112">
        <f>SUMIF('Таблица Учитель-Предмет'!$D12:$D70,$B12,'Таблица Учитель-Предмет'!F12:F70)</f>
        <v>25</v>
      </c>
      <c r="D12" s="112">
        <f>SUMIF('Таблица Учитель-Предмет'!$D12:$D70,$B12,'Таблица Учитель-Предмет'!G12:G70)</f>
        <v>6</v>
      </c>
      <c r="E12" s="112">
        <f>SUMIF('Таблица Учитель-Предмет'!$D12:$D70,$B12,'Таблица Учитель-Предмет'!H12:H70)</f>
        <v>15</v>
      </c>
      <c r="F12" s="112">
        <f>SUMIF('Таблица Учитель-Предмет'!$D12:$D70,$B12,'Таблица Учитель-Предмет'!I12:I70)</f>
        <v>4</v>
      </c>
      <c r="G12" s="112">
        <f>SUMIF('Таблица Учитель-Предмет'!$D12:$D70,$B12,'Таблица Учитель-Предмет'!J12:J70)</f>
        <v>0</v>
      </c>
      <c r="H12" s="112">
        <f>SUMIF('Таблица Учитель-Предмет'!$D12:$D70,$B12,'Таблица Учитель-Предмет'!K12:K70)</f>
        <v>0</v>
      </c>
      <c r="I12" s="112">
        <f>SUMIF('Таблица Учитель-Предмет'!$D12:$D70,$B12,'Таблица Учитель-Предмет'!L12:L70)</f>
        <v>0</v>
      </c>
      <c r="J12" s="115">
        <f t="shared" si="0"/>
        <v>4.08</v>
      </c>
      <c r="K12" s="116">
        <f t="shared" si="1"/>
        <v>1</v>
      </c>
      <c r="L12" s="116">
        <f t="shared" si="2"/>
        <v>0.84</v>
      </c>
      <c r="M12" s="116">
        <f t="shared" si="3"/>
        <v>0.68159999999999998</v>
      </c>
      <c r="N12" s="116">
        <f t="shared" si="4"/>
        <v>0.72</v>
      </c>
      <c r="O12" s="115">
        <f>SUMIFS('Таблица общая'!T$6:T$159,'Таблица общая'!U$6:U$159,A12)/COUNTIF('Таблица общая'!U$6:U$159,A12)</f>
        <v>13.566666666666666</v>
      </c>
    </row>
    <row r="13" spans="1:15">
      <c r="A13" s="113">
        <f>Список!I15</f>
        <v>10</v>
      </c>
      <c r="B13" s="114" t="str">
        <f>Список!J15</f>
        <v>Каменская Н. В.</v>
      </c>
      <c r="C13" s="112">
        <f>SUMIF('Таблица Учитель-Предмет'!$D14:$D70,$B13,'Таблица Учитель-Предмет'!F14:F70)</f>
        <v>43</v>
      </c>
      <c r="D13" s="112">
        <f>SUMIF('Таблица Учитель-Предмет'!$D14:$D70,$B13,'Таблица Учитель-Предмет'!G14:G70)</f>
        <v>6</v>
      </c>
      <c r="E13" s="112">
        <f>SUMIF('Таблица Учитель-Предмет'!$D14:$D70,$B13,'Таблица Учитель-Предмет'!H14:H70)</f>
        <v>15</v>
      </c>
      <c r="F13" s="112">
        <f>SUMIF('Таблица Учитель-Предмет'!$D14:$D70,$B13,'Таблица Учитель-Предмет'!I14:I70)</f>
        <v>21</v>
      </c>
      <c r="G13" s="112">
        <f>SUMIF('Таблица Учитель-Предмет'!$D14:$D70,$B13,'Таблица Учитель-Предмет'!J14:J70)</f>
        <v>1</v>
      </c>
      <c r="H13" s="112">
        <f>SUMIF('Таблица Учитель-Предмет'!$D14:$D70,$B13,'Таблица Учитель-Предмет'!K14:K70)</f>
        <v>0</v>
      </c>
      <c r="I13" s="112">
        <f>SUMIF('Таблица Учитель-Предмет'!$D14:$D70,$B13,'Таблица Учитель-Предмет'!L14:L70)</f>
        <v>0</v>
      </c>
      <c r="J13" s="115">
        <f t="shared" si="0"/>
        <v>3.6046511627906979</v>
      </c>
      <c r="K13" s="116">
        <f t="shared" si="1"/>
        <v>0.97674418604651159</v>
      </c>
      <c r="L13" s="116">
        <f t="shared" si="2"/>
        <v>0.48837209302325579</v>
      </c>
      <c r="M13" s="116">
        <f t="shared" si="3"/>
        <v>0.54232558139534881</v>
      </c>
      <c r="N13" s="116">
        <f t="shared" si="4"/>
        <v>0.41860465116279072</v>
      </c>
      <c r="O13" s="115">
        <f>SUMIFS('Таблица общая'!T$6:T$159,'Таблица общая'!U$6:U$159,A13)/COUNTIF('Таблица общая'!U$6:U$159,A13)</f>
        <v>9.5402472527472515</v>
      </c>
    </row>
    <row r="14" spans="1:15">
      <c r="A14" s="113">
        <f>Список!I16</f>
        <v>11</v>
      </c>
      <c r="B14" s="114" t="str">
        <f>Список!J16</f>
        <v>Касьянова Н. А.</v>
      </c>
      <c r="C14" s="112">
        <f>SUMIF('Таблица Учитель-Предмет'!$D15:$D70,$B14,'Таблица Учитель-Предмет'!F15:F70)</f>
        <v>118</v>
      </c>
      <c r="D14" s="112">
        <f>SUMIF('Таблица Учитель-Предмет'!$D15:$D70,$B14,'Таблица Учитель-Предмет'!G15:G70)</f>
        <v>26</v>
      </c>
      <c r="E14" s="112">
        <f>SUMIF('Таблица Учитель-Предмет'!$D15:$D70,$B14,'Таблица Учитель-Предмет'!H15:H70)</f>
        <v>58</v>
      </c>
      <c r="F14" s="112">
        <f>SUMIF('Таблица Учитель-Предмет'!$D15:$D70,$B14,'Таблица Учитель-Предмет'!I15:I70)</f>
        <v>34</v>
      </c>
      <c r="G14" s="112">
        <f>SUMIF('Таблица Учитель-Предмет'!$D15:$D70,$B14,'Таблица Учитель-Предмет'!J15:J70)</f>
        <v>0</v>
      </c>
      <c r="H14" s="112">
        <f>SUMIF('Таблица Учитель-Предмет'!$D15:$D70,$B14,'Таблица Учитель-Предмет'!K15:K70)</f>
        <v>0</v>
      </c>
      <c r="I14" s="112">
        <f>SUMIF('Таблица Учитель-Предмет'!$D15:$D70,$B14,'Таблица Учитель-Предмет'!L15:L70)</f>
        <v>0</v>
      </c>
      <c r="J14" s="115">
        <f t="shared" si="0"/>
        <v>3.9322033898305087</v>
      </c>
      <c r="K14" s="116">
        <f t="shared" si="1"/>
        <v>1</v>
      </c>
      <c r="L14" s="116">
        <f t="shared" si="2"/>
        <v>0.71186440677966101</v>
      </c>
      <c r="M14" s="116">
        <f t="shared" si="3"/>
        <v>0.6386440677966102</v>
      </c>
      <c r="N14" s="116">
        <f t="shared" si="4"/>
        <v>0.61355932203389829</v>
      </c>
      <c r="O14" s="115">
        <f>SUMIFS('Таблица общая'!T$6:T$159,'Таблица общая'!U$6:U$159,A14)/COUNTIF('Таблица общая'!U$6:U$159,A14)</f>
        <v>3.9346064814814814</v>
      </c>
    </row>
    <row r="15" spans="1:15">
      <c r="A15" s="113">
        <f>Список!I18</f>
        <v>13</v>
      </c>
      <c r="B15" s="114" t="str">
        <f>Список!J18</f>
        <v>Кожанова О. В.</v>
      </c>
      <c r="C15" s="112">
        <f>SUMIF('Таблица Учитель-Предмет'!$D16:$D70,$B15,'Таблица Учитель-Предмет'!F16:F70)</f>
        <v>54</v>
      </c>
      <c r="D15" s="112">
        <f>SUMIF('Таблица Учитель-Предмет'!$D16:$D70,$B15,'Таблица Учитель-Предмет'!G16:G70)</f>
        <v>22</v>
      </c>
      <c r="E15" s="112">
        <f>SUMIF('Таблица Учитель-Предмет'!$D16:$D70,$B15,'Таблица Учитель-Предмет'!H16:H70)</f>
        <v>22</v>
      </c>
      <c r="F15" s="112">
        <f>SUMIF('Таблица Учитель-Предмет'!$D16:$D70,$B15,'Таблица Учитель-Предмет'!I16:I70)</f>
        <v>10</v>
      </c>
      <c r="G15" s="112">
        <f>SUMIF('Таблица Учитель-Предмет'!$D16:$D70,$B15,'Таблица Учитель-Предмет'!J16:J70)</f>
        <v>0</v>
      </c>
      <c r="H15" s="112">
        <f>SUMIF('Таблица Учитель-Предмет'!$D16:$D70,$B15,'Таблица Учитель-Предмет'!K16:K70)</f>
        <v>0</v>
      </c>
      <c r="I15" s="112">
        <f>SUMIF('Таблица Учитель-Предмет'!$D16:$D70,$B15,'Таблица Учитель-Предмет'!L16:L70)</f>
        <v>0</v>
      </c>
      <c r="J15" s="115">
        <f t="shared" si="0"/>
        <v>4.2222222222222223</v>
      </c>
      <c r="K15" s="116">
        <f t="shared" si="1"/>
        <v>1</v>
      </c>
      <c r="L15" s="116">
        <f t="shared" si="2"/>
        <v>0.81481481481481477</v>
      </c>
      <c r="M15" s="116">
        <f t="shared" si="3"/>
        <v>0.73481481481481481</v>
      </c>
      <c r="N15" s="116">
        <f t="shared" si="4"/>
        <v>0.73333333333333328</v>
      </c>
      <c r="O15" s="115">
        <f>SUMIFS('Таблица общая'!T$6:T$159,'Таблица общая'!U$6:U$159,A15)/COUNTIF('Таблица общая'!U$6:U$159,A15)</f>
        <v>13.726648351648352</v>
      </c>
    </row>
    <row r="16" spans="1:15">
      <c r="A16" s="113">
        <f>Список!I21</f>
        <v>16</v>
      </c>
      <c r="B16" s="114" t="str">
        <f>Список!J21</f>
        <v xml:space="preserve">Кузнецова Н.М. </v>
      </c>
      <c r="C16" s="112">
        <f>SUMIF('Таблица Учитель-Предмет'!$D19:$D70,$B16,'Таблица Учитель-Предмет'!F19:F70)</f>
        <v>60</v>
      </c>
      <c r="D16" s="112">
        <f>SUMIF('Таблица Учитель-Предмет'!$D19:$D70,$B16,'Таблица Учитель-Предмет'!G19:G70)</f>
        <v>21</v>
      </c>
      <c r="E16" s="112">
        <f>SUMIF('Таблица Учитель-Предмет'!$D19:$D70,$B16,'Таблица Учитель-Предмет'!H19:H70)</f>
        <v>33</v>
      </c>
      <c r="F16" s="112">
        <f>SUMIF('Таблица Учитель-Предмет'!$D19:$D70,$B16,'Таблица Учитель-Предмет'!I19:I70)</f>
        <v>6</v>
      </c>
      <c r="G16" s="112">
        <f>SUMIF('Таблица Учитель-Предмет'!$D19:$D70,$B16,'Таблица Учитель-Предмет'!J19:J70)</f>
        <v>0</v>
      </c>
      <c r="H16" s="112">
        <f>SUMIF('Таблица Учитель-Предмет'!$D19:$D70,$B16,'Таблица Учитель-Предмет'!K19:K70)</f>
        <v>0</v>
      </c>
      <c r="I16" s="112">
        <f>SUMIF('Таблица Учитель-Предмет'!$D19:$D70,$B16,'Таблица Учитель-Предмет'!L19:L70)</f>
        <v>0</v>
      </c>
      <c r="J16" s="115">
        <f t="shared" si="0"/>
        <v>4.25</v>
      </c>
      <c r="K16" s="116">
        <f t="shared" si="1"/>
        <v>1</v>
      </c>
      <c r="L16" s="116">
        <f t="shared" si="2"/>
        <v>0.9</v>
      </c>
      <c r="M16" s="116">
        <f t="shared" si="3"/>
        <v>0.73799999999999999</v>
      </c>
      <c r="N16" s="116">
        <f t="shared" si="4"/>
        <v>0.79</v>
      </c>
      <c r="O16" s="115">
        <f>SUMIFS('Таблица общая'!T$6:T$159,'Таблица общая'!U$6:U$159,A16)/COUNTIF('Таблица общая'!U$6:U$159,A16)</f>
        <v>4.25</v>
      </c>
    </row>
    <row r="17" spans="1:15">
      <c r="A17" s="113">
        <f>Список!I23</f>
        <v>18</v>
      </c>
      <c r="B17" s="114" t="str">
        <f>Список!J23</f>
        <v>Ланова Н.Ю.</v>
      </c>
      <c r="C17" s="112">
        <f>SUMIF('Таблица Учитель-Предмет'!$D21:$D70,$B17,'Таблица Учитель-Предмет'!F21:F70)</f>
        <v>66</v>
      </c>
      <c r="D17" s="112">
        <f>SUMIF('Таблица Учитель-Предмет'!$D21:$D70,$B17,'Таблица Учитель-Предмет'!G21:G70)</f>
        <v>16</v>
      </c>
      <c r="E17" s="112">
        <f>SUMIF('Таблица Учитель-Предмет'!$D21:$D70,$B17,'Таблица Учитель-Предмет'!H21:H70)</f>
        <v>35</v>
      </c>
      <c r="F17" s="112">
        <f>SUMIF('Таблица Учитель-Предмет'!$D21:$D70,$B17,'Таблица Учитель-Предмет'!I21:I70)</f>
        <v>15</v>
      </c>
      <c r="G17" s="112">
        <f>SUMIF('Таблица Учитель-Предмет'!$D21:$D70,$B17,'Таблица Учитель-Предмет'!J21:J70)</f>
        <v>0</v>
      </c>
      <c r="H17" s="112">
        <f>SUMIF('Таблица Учитель-Предмет'!$D21:$D70,$B17,'Таблица Учитель-Предмет'!K21:K70)</f>
        <v>0</v>
      </c>
      <c r="I17" s="112">
        <f>SUMIF('Таблица Учитель-Предмет'!$D21:$D70,$B17,'Таблица Учитель-Предмет'!L21:L70)</f>
        <v>0</v>
      </c>
      <c r="J17" s="115">
        <f t="shared" si="0"/>
        <v>4.0151515151515156</v>
      </c>
      <c r="K17" s="116">
        <f t="shared" si="1"/>
        <v>1</v>
      </c>
      <c r="L17" s="116">
        <f t="shared" si="2"/>
        <v>0.77272727272727271</v>
      </c>
      <c r="M17" s="116">
        <f t="shared" si="3"/>
        <v>0.66363636363636369</v>
      </c>
      <c r="N17" s="116">
        <f t="shared" si="4"/>
        <v>0.66666666666666663</v>
      </c>
      <c r="O17" s="115">
        <f>SUMIFS('Таблица общая'!T$6:T$159,'Таблица общая'!U$6:U$159,A17)/COUNTIF('Таблица общая'!U$6:U$159,A17)</f>
        <v>5.06911421911422</v>
      </c>
    </row>
    <row r="18" spans="1:15">
      <c r="A18" s="113">
        <f>Список!I24</f>
        <v>19</v>
      </c>
      <c r="B18" s="114" t="str">
        <f>Список!J24</f>
        <v>Литвинова  А. И.</v>
      </c>
      <c r="C18" s="112">
        <f>SUMIF('Таблица Учитель-Предмет'!$D22:$D70,$B18,'Таблица Учитель-Предмет'!F22:F70)</f>
        <v>90</v>
      </c>
      <c r="D18" s="112">
        <f>SUMIF('Таблица Учитель-Предмет'!$D22:$D70,$B18,'Таблица Учитель-Предмет'!G22:G70)</f>
        <v>30</v>
      </c>
      <c r="E18" s="112">
        <f>SUMIF('Таблица Учитель-Предмет'!$D22:$D70,$B18,'Таблица Учитель-Предмет'!H22:H70)</f>
        <v>48</v>
      </c>
      <c r="F18" s="112">
        <f>SUMIF('Таблица Учитель-Предмет'!$D22:$D70,$B18,'Таблица Учитель-Предмет'!I22:I70)</f>
        <v>12</v>
      </c>
      <c r="G18" s="112">
        <f>SUMIF('Таблица Учитель-Предмет'!$D22:$D70,$B18,'Таблица Учитель-Предмет'!J22:J70)</f>
        <v>0</v>
      </c>
      <c r="H18" s="112">
        <f>SUMIF('Таблица Учитель-Предмет'!$D22:$D70,$B18,'Таблица Учитель-Предмет'!K22:K70)</f>
        <v>0</v>
      </c>
      <c r="I18" s="112">
        <f>SUMIF('Таблица Учитель-Предмет'!$D22:$D70,$B18,'Таблица Учитель-Предмет'!L22:L70)</f>
        <v>0</v>
      </c>
      <c r="J18" s="115">
        <f t="shared" si="0"/>
        <v>4.2</v>
      </c>
      <c r="K18" s="116">
        <f t="shared" si="1"/>
        <v>1</v>
      </c>
      <c r="L18" s="116">
        <f t="shared" si="2"/>
        <v>0.8666666666666667</v>
      </c>
      <c r="M18" s="116">
        <f t="shared" si="3"/>
        <v>0.72266666666666657</v>
      </c>
      <c r="N18" s="116">
        <f t="shared" si="4"/>
        <v>0.76</v>
      </c>
      <c r="O18" s="115">
        <f>SUMIFS('Таблица общая'!T$6:T$159,'Таблица общая'!U$6:U$159,A18)/COUNTIF('Таблица общая'!U$6:U$159,A18)</f>
        <v>10.533333333333333</v>
      </c>
    </row>
    <row r="19" spans="1:15">
      <c r="A19" s="113">
        <f>Список!I26</f>
        <v>21</v>
      </c>
      <c r="B19" s="114" t="str">
        <f>Список!J26</f>
        <v>Маслова Е. В.</v>
      </c>
      <c r="C19" s="112">
        <f>SUMIF('Таблица Учитель-Предмет'!$D23:$D70,$B19,'Таблица Учитель-Предмет'!F23:F70)</f>
        <v>54</v>
      </c>
      <c r="D19" s="112">
        <f>SUMIF('Таблица Учитель-Предмет'!$D23:$D70,$B19,'Таблица Учитель-Предмет'!G23:G70)</f>
        <v>4</v>
      </c>
      <c r="E19" s="112">
        <f>SUMIF('Таблица Учитель-Предмет'!$D23:$D70,$B19,'Таблица Учитель-Предмет'!H23:H70)</f>
        <v>38</v>
      </c>
      <c r="F19" s="112">
        <f>SUMIF('Таблица Учитель-Предмет'!$D23:$D70,$B19,'Таблица Учитель-Предмет'!I23:I70)</f>
        <v>12</v>
      </c>
      <c r="G19" s="112">
        <f>SUMIF('Таблица Учитель-Предмет'!$D23:$D70,$B19,'Таблица Учитель-Предмет'!J23:J70)</f>
        <v>0</v>
      </c>
      <c r="H19" s="112">
        <f>SUMIF('Таблица Учитель-Предмет'!$D23:$D70,$B19,'Таблица Учитель-Предмет'!K23:K70)</f>
        <v>0</v>
      </c>
      <c r="I19" s="112">
        <f>SUMIF('Таблица Учитель-Предмет'!$D23:$D70,$B19,'Таблица Учитель-Предмет'!L23:L70)</f>
        <v>0</v>
      </c>
      <c r="J19" s="115">
        <f t="shared" si="0"/>
        <v>3.8518518518518516</v>
      </c>
      <c r="K19" s="116">
        <f t="shared" si="1"/>
        <v>1</v>
      </c>
      <c r="L19" s="116">
        <f t="shared" si="2"/>
        <v>0.77777777777777779</v>
      </c>
      <c r="M19" s="116">
        <f t="shared" si="3"/>
        <v>0.60444444444444445</v>
      </c>
      <c r="N19" s="116">
        <f t="shared" si="4"/>
        <v>0.63703703703703707</v>
      </c>
      <c r="O19" s="115">
        <f>SUMIFS('Таблица общая'!T$6:T$159,'Таблица общая'!U$6:U$159,A19)/COUNTIF('Таблица общая'!U$6:U$159,A19)</f>
        <v>11.851851851851851</v>
      </c>
    </row>
    <row r="20" spans="1:15">
      <c r="A20" s="113">
        <f>Список!I27</f>
        <v>22</v>
      </c>
      <c r="B20" s="114" t="str">
        <f>Список!J27</f>
        <v>Мельникова Л. Н.</v>
      </c>
      <c r="C20" s="112">
        <f>SUMIF('Таблица Учитель-Предмет'!$D24:$D70,$B20,'Таблица Учитель-Предмет'!F24:F70)</f>
        <v>62</v>
      </c>
      <c r="D20" s="112">
        <f>SUMIF('Таблица Учитель-Предмет'!$D24:$D70,$B20,'Таблица Учитель-Предмет'!G24:G70)</f>
        <v>20</v>
      </c>
      <c r="E20" s="112">
        <f>SUMIF('Таблица Учитель-Предмет'!$D24:$D70,$B20,'Таблица Учитель-Предмет'!H24:H70)</f>
        <v>35</v>
      </c>
      <c r="F20" s="112">
        <f>SUMIF('Таблица Учитель-Предмет'!$D24:$D70,$B20,'Таблица Учитель-Предмет'!I24:I70)</f>
        <v>7</v>
      </c>
      <c r="G20" s="112">
        <f>SUMIF('Таблица Учитель-Предмет'!$D24:$D70,$B20,'Таблица Учитель-Предмет'!J24:J70)</f>
        <v>0</v>
      </c>
      <c r="H20" s="112">
        <f>SUMIF('Таблица Учитель-Предмет'!$D24:$D70,$B20,'Таблица Учитель-Предмет'!K24:K70)</f>
        <v>0</v>
      </c>
      <c r="I20" s="112">
        <f>SUMIF('Таблица Учитель-Предмет'!$D24:$D70,$B20,'Таблица Учитель-Предмет'!L24:L70)</f>
        <v>0</v>
      </c>
      <c r="J20" s="115">
        <f t="shared" si="0"/>
        <v>4.209677419354839</v>
      </c>
      <c r="K20" s="116">
        <f t="shared" si="1"/>
        <v>1</v>
      </c>
      <c r="L20" s="116">
        <f t="shared" si="2"/>
        <v>0.88709677419354838</v>
      </c>
      <c r="M20" s="116">
        <f t="shared" si="3"/>
        <v>0.72451612903225826</v>
      </c>
      <c r="N20" s="116">
        <f t="shared" si="4"/>
        <v>0.77419354838709675</v>
      </c>
      <c r="O20" s="115">
        <f>SUMIFS('Таблица общая'!T$6:T$159,'Таблица общая'!U$6:U$159,A20)/COUNTIF('Таблица общая'!U$6:U$159,A20)</f>
        <v>7.709677419354839</v>
      </c>
    </row>
    <row r="21" spans="1:15">
      <c r="A21" s="113">
        <f>Список!I28</f>
        <v>23</v>
      </c>
      <c r="B21" s="114" t="str">
        <f>Список!J28</f>
        <v>Нагорная Н. П.</v>
      </c>
      <c r="C21" s="112">
        <f>SUMIF('Таблица Учитель-Предмет'!$D24:$D70,$B21,'Таблица Учитель-Предмет'!F24:F70)</f>
        <v>62</v>
      </c>
      <c r="D21" s="112">
        <f>SUMIF('Таблица Учитель-Предмет'!$D24:$D70,$B21,'Таблица Учитель-Предмет'!G24:G70)</f>
        <v>10</v>
      </c>
      <c r="E21" s="112">
        <f>SUMIF('Таблица Учитель-Предмет'!$D24:$D70,$B21,'Таблица Учитель-Предмет'!H24:H70)</f>
        <v>42</v>
      </c>
      <c r="F21" s="112">
        <f>SUMIF('Таблица Учитель-Предмет'!$D24:$D70,$B21,'Таблица Учитель-Предмет'!I24:I70)</f>
        <v>10</v>
      </c>
      <c r="G21" s="112">
        <f>SUMIF('Таблица Учитель-Предмет'!$D24:$D70,$B21,'Таблица Учитель-Предмет'!J24:J70)</f>
        <v>0</v>
      </c>
      <c r="H21" s="112">
        <f>SUMIF('Таблица Учитель-Предмет'!$D24:$D70,$B21,'Таблица Учитель-Предмет'!K24:K70)</f>
        <v>0</v>
      </c>
      <c r="I21" s="112">
        <f>SUMIF('Таблица Учитель-Предмет'!$D24:$D70,$B21,'Таблица Учитель-Предмет'!L24:L70)</f>
        <v>0</v>
      </c>
      <c r="J21" s="115">
        <f t="shared" si="0"/>
        <v>4</v>
      </c>
      <c r="K21" s="116">
        <f t="shared" si="1"/>
        <v>1</v>
      </c>
      <c r="L21" s="116">
        <f t="shared" si="2"/>
        <v>0.83870967741935487</v>
      </c>
      <c r="M21" s="116">
        <f t="shared" si="3"/>
        <v>0.65290322580645155</v>
      </c>
      <c r="N21" s="116">
        <f t="shared" si="4"/>
        <v>0.70322580645161292</v>
      </c>
      <c r="O21" s="115">
        <f>SUMIFS('Таблица общая'!T$6:T$159,'Таблица общая'!U$6:U$159,A21)/COUNTIF('Таблица общая'!U$6:U$159,A21)</f>
        <v>8</v>
      </c>
    </row>
    <row r="22" spans="1:15">
      <c r="A22" s="113">
        <f>Список!I31</f>
        <v>26</v>
      </c>
      <c r="B22" s="114" t="str">
        <f>Список!J31</f>
        <v>Новикова А. Р.</v>
      </c>
      <c r="C22" s="112">
        <f>SUMIF('Таблица Учитель-Предмет'!$D26:$D70,$B22,'Таблица Учитель-Предмет'!F26:F70)</f>
        <v>251</v>
      </c>
      <c r="D22" s="112">
        <f>SUMIF('Таблица Учитель-Предмет'!$D26:$D70,$B22,'Таблица Учитель-Предмет'!G26:G70)</f>
        <v>32</v>
      </c>
      <c r="E22" s="112">
        <f>SUMIF('Таблица Учитель-Предмет'!$D26:$D70,$B22,'Таблица Учитель-Предмет'!H26:H70)</f>
        <v>75</v>
      </c>
      <c r="F22" s="112">
        <f>SUMIF('Таблица Учитель-Предмет'!$D26:$D70,$B22,'Таблица Учитель-Предмет'!I26:I70)</f>
        <v>144</v>
      </c>
      <c r="G22" s="112">
        <f>SUMIF('Таблица Учитель-Предмет'!$D26:$D70,$B22,'Таблица Учитель-Предмет'!J26:J70)</f>
        <v>0</v>
      </c>
      <c r="H22" s="112">
        <f>SUMIF('Таблица Учитель-Предмет'!$D26:$D70,$B22,'Таблица Учитель-Предмет'!K26:K70)</f>
        <v>0</v>
      </c>
      <c r="I22" s="112">
        <f>SUMIF('Таблица Учитель-Предмет'!$D26:$D70,$B22,'Таблица Учитель-Предмет'!L26:L70)</f>
        <v>0</v>
      </c>
      <c r="J22" s="115">
        <f t="shared" si="0"/>
        <v>3.5537848605577689</v>
      </c>
      <c r="K22" s="116">
        <f t="shared" si="1"/>
        <v>1</v>
      </c>
      <c r="L22" s="116">
        <f t="shared" si="2"/>
        <v>0.42629482071713148</v>
      </c>
      <c r="M22" s="116">
        <f t="shared" si="3"/>
        <v>0.52525896414342632</v>
      </c>
      <c r="N22" s="116">
        <f t="shared" si="4"/>
        <v>0.36653386454183268</v>
      </c>
      <c r="O22" s="115">
        <f>SUMIFS('Таблица общая'!T$6:T$159,'Таблица общая'!U$6:U$159,A22)/COUNTIF('Таблица общая'!U$6:U$159,A22)</f>
        <v>11.144395115628999</v>
      </c>
    </row>
    <row r="23" spans="1:15">
      <c r="A23" s="113">
        <f>Список!I32</f>
        <v>27</v>
      </c>
      <c r="B23" s="114" t="str">
        <f>Список!J32</f>
        <v>Олейникова  И. Ю.</v>
      </c>
      <c r="C23" s="112">
        <f>SUMIF('Таблица Учитель-Предмет'!$D27:$D70,$B23,'Таблица Учитель-Предмет'!F27:F70)</f>
        <v>29</v>
      </c>
      <c r="D23" s="112">
        <f>SUMIF('Таблица Учитель-Предмет'!$D27:$D70,$B23,'Таблица Учитель-Предмет'!G27:G70)</f>
        <v>12</v>
      </c>
      <c r="E23" s="112">
        <f>SUMIF('Таблица Учитель-Предмет'!$D27:$D70,$B23,'Таблица Учитель-Предмет'!H27:H70)</f>
        <v>14</v>
      </c>
      <c r="F23" s="112">
        <f>SUMIF('Таблица Учитель-Предмет'!$D27:$D70,$B23,'Таблица Учитель-Предмет'!I27:I70)</f>
        <v>3</v>
      </c>
      <c r="G23" s="112">
        <f>SUMIF('Таблица Учитель-Предмет'!$D27:$D70,$B23,'Таблица Учитель-Предмет'!J27:J70)</f>
        <v>0</v>
      </c>
      <c r="H23" s="112">
        <f>SUMIF('Таблица Учитель-Предмет'!$D27:$D70,$B23,'Таблица Учитель-Предмет'!K27:K70)</f>
        <v>0</v>
      </c>
      <c r="I23" s="112">
        <f>SUMIF('Таблица Учитель-Предмет'!$D27:$D70,$B23,'Таблица Учитель-Предмет'!L27:L70)</f>
        <v>0</v>
      </c>
      <c r="J23" s="115">
        <f t="shared" si="0"/>
        <v>4.3103448275862073</v>
      </c>
      <c r="K23" s="116">
        <f t="shared" si="1"/>
        <v>1</v>
      </c>
      <c r="L23" s="116">
        <f t="shared" si="2"/>
        <v>0.89655172413793105</v>
      </c>
      <c r="M23" s="116">
        <f t="shared" si="3"/>
        <v>0.76</v>
      </c>
      <c r="N23" s="116">
        <f t="shared" si="4"/>
        <v>0.8</v>
      </c>
      <c r="O23" s="115">
        <f>SUMIFS('Таблица общая'!T$6:T$159,'Таблица общая'!U$6:U$159,A23)/COUNTIF('Таблица общая'!U$6:U$159,A23)</f>
        <v>7.3103448275862073</v>
      </c>
    </row>
    <row r="24" spans="1:15">
      <c r="A24" s="113">
        <f>Список!I33</f>
        <v>28</v>
      </c>
      <c r="B24" s="114" t="str">
        <f>Список!J33</f>
        <v>Павлющик О.И.</v>
      </c>
      <c r="C24" s="112">
        <f>SUMIF('Таблица Учитель-Предмет'!$D27:$D70,$B24,'Таблица Учитель-Предмет'!F27:F70)</f>
        <v>29</v>
      </c>
      <c r="D24" s="112">
        <f>SUMIF('Таблица Учитель-Предмет'!$D27:$D70,$B24,'Таблица Учитель-Предмет'!G27:G70)</f>
        <v>23</v>
      </c>
      <c r="E24" s="112">
        <f>SUMIF('Таблица Учитель-Предмет'!$D27:$D70,$B24,'Таблица Учитель-Предмет'!H27:H70)</f>
        <v>6</v>
      </c>
      <c r="F24" s="112">
        <f>SUMIF('Таблица Учитель-Предмет'!$D27:$D70,$B24,'Таблица Учитель-Предмет'!I27:I70)</f>
        <v>0</v>
      </c>
      <c r="G24" s="112">
        <f>SUMIF('Таблица Учитель-Предмет'!$D27:$D70,$B24,'Таблица Учитель-Предмет'!J27:J70)</f>
        <v>0</v>
      </c>
      <c r="H24" s="112">
        <f>SUMIF('Таблица Учитель-Предмет'!$D27:$D70,$B24,'Таблица Учитель-Предмет'!K27:K70)</f>
        <v>0</v>
      </c>
      <c r="I24" s="112">
        <f>SUMIF('Таблица Учитель-Предмет'!$D27:$D70,$B24,'Таблица Учитель-Предмет'!L27:L70)</f>
        <v>0</v>
      </c>
      <c r="J24" s="115">
        <f t="shared" si="0"/>
        <v>4.7931034482758621</v>
      </c>
      <c r="K24" s="116">
        <f t="shared" si="1"/>
        <v>1</v>
      </c>
      <c r="L24" s="116">
        <f t="shared" si="2"/>
        <v>1</v>
      </c>
      <c r="M24" s="116">
        <f t="shared" si="3"/>
        <v>0.92551724137931035</v>
      </c>
      <c r="N24" s="116">
        <f t="shared" si="4"/>
        <v>0.95862068965517244</v>
      </c>
      <c r="O24" s="115">
        <f>SUMIFS('Таблица общая'!T$6:T$159,'Таблица общая'!U$6:U$159,A24)/COUNTIF('Таблица общая'!U$6:U$159,A24)</f>
        <v>10.793103448275861</v>
      </c>
    </row>
    <row r="25" spans="1:15">
      <c r="A25" s="113">
        <f>Список!I34</f>
        <v>29</v>
      </c>
      <c r="B25" s="114" t="str">
        <f>Список!J34</f>
        <v>Палиева А. И.</v>
      </c>
      <c r="C25" s="112">
        <f>SUMIF('Таблица Учитель-Предмет'!$D28:$D70,$B25,'Таблица Учитель-Предмет'!F28:F70)</f>
        <v>29</v>
      </c>
      <c r="D25" s="112">
        <f>SUMIF('Таблица Учитель-Предмет'!$D28:$D70,$B25,'Таблица Учитель-Предмет'!G28:G70)</f>
        <v>9</v>
      </c>
      <c r="E25" s="112">
        <f>SUMIF('Таблица Учитель-Предмет'!$D28:$D70,$B25,'Таблица Учитель-Предмет'!H28:H70)</f>
        <v>15</v>
      </c>
      <c r="F25" s="112">
        <f>SUMIF('Таблица Учитель-Предмет'!$D28:$D70,$B25,'Таблица Учитель-Предмет'!I28:I70)</f>
        <v>5</v>
      </c>
      <c r="G25" s="112">
        <f>SUMIF('Таблица Учитель-Предмет'!$D28:$D70,$B25,'Таблица Учитель-Предмет'!J28:J70)</f>
        <v>0</v>
      </c>
      <c r="H25" s="112">
        <f>SUMIF('Таблица Учитель-Предмет'!$D28:$D70,$B25,'Таблица Учитель-Предмет'!K28:K70)</f>
        <v>0</v>
      </c>
      <c r="I25" s="112">
        <f>SUMIF('Таблица Учитель-Предмет'!$D28:$D70,$B25,'Таблица Учитель-Предмет'!L28:L70)</f>
        <v>0</v>
      </c>
      <c r="J25" s="115">
        <f t="shared" si="0"/>
        <v>4.1379310344827589</v>
      </c>
      <c r="K25" s="116">
        <f t="shared" si="1"/>
        <v>1</v>
      </c>
      <c r="L25" s="116">
        <f t="shared" si="2"/>
        <v>0.82758620689655171</v>
      </c>
      <c r="M25" s="116">
        <f t="shared" si="3"/>
        <v>0.70344827586206904</v>
      </c>
      <c r="N25" s="116">
        <f t="shared" si="4"/>
        <v>0.72413793103448276</v>
      </c>
      <c r="O25" s="115">
        <f>SUMIFS('Таблица общая'!T$6:T$159,'Таблица общая'!U$6:U$159,A25)/COUNTIF('Таблица общая'!U$6:U$159,A25)</f>
        <v>11.137931034482758</v>
      </c>
    </row>
    <row r="26" spans="1:15">
      <c r="A26" s="113">
        <f>Список!I35</f>
        <v>30</v>
      </c>
      <c r="B26" s="114" t="str">
        <f>Список!J35</f>
        <v>Полунина В. В.</v>
      </c>
      <c r="C26" s="112">
        <f>SUMIF('Таблица Учитель-Предмет'!$D28:$D70,$B26,'Таблица Учитель-Предмет'!F28:F70)</f>
        <v>41</v>
      </c>
      <c r="D26" s="112">
        <f>SUMIF('Таблица Учитель-Предмет'!$D28:$D70,$B26,'Таблица Учитель-Предмет'!G28:G70)</f>
        <v>18</v>
      </c>
      <c r="E26" s="112">
        <f>SUMIF('Таблица Учитель-Предмет'!$D28:$D70,$B26,'Таблица Учитель-Предмет'!H28:H70)</f>
        <v>16</v>
      </c>
      <c r="F26" s="112">
        <f>SUMIF('Таблица Учитель-Предмет'!$D28:$D70,$B26,'Таблица Учитель-Предмет'!I28:I70)</f>
        <v>7</v>
      </c>
      <c r="G26" s="112">
        <f>SUMIF('Таблица Учитель-Предмет'!$D28:$D70,$B26,'Таблица Учитель-Предмет'!J28:J70)</f>
        <v>0</v>
      </c>
      <c r="H26" s="112">
        <f>SUMIF('Таблица Учитель-Предмет'!$D28:$D70,$B26,'Таблица Учитель-Предмет'!K28:K70)</f>
        <v>0</v>
      </c>
      <c r="I26" s="112">
        <f>SUMIF('Таблица Учитель-Предмет'!$D28:$D70,$B26,'Таблица Учитель-Предмет'!L28:L70)</f>
        <v>0</v>
      </c>
      <c r="J26" s="115">
        <f>(5*D26+4*E26+3*F26+2*G26)/(C26-I26)</f>
        <v>4.2682926829268295</v>
      </c>
      <c r="K26" s="116">
        <f>(SUM(D26:F26)/(C26-I26))</f>
        <v>1</v>
      </c>
      <c r="L26" s="116">
        <f>(SUM(D26:E26)/(C26-I26))</f>
        <v>0.82926829268292679</v>
      </c>
      <c r="M26" s="116">
        <f>(D26+E26*0.64+F26*0.36+G26*0.16)/(C26-I26)</f>
        <v>0.75024390243902439</v>
      </c>
      <c r="N26" s="116">
        <f>(5*D26+4*E26)/((C26-I26)*5)</f>
        <v>0.75121951219512195</v>
      </c>
      <c r="O26" s="115">
        <f>SUMIFS('Таблица общая'!T$6:T$159,'Таблица общая'!U$6:U$159,A26)/COUNTIF('Таблица общая'!U$6:U$159,A26)</f>
        <v>8.9316239316239301</v>
      </c>
    </row>
    <row r="27" spans="1:15">
      <c r="A27" s="113">
        <f>Список!I36</f>
        <v>31</v>
      </c>
      <c r="B27" s="114" t="str">
        <f>Список!J36</f>
        <v>Полякова Е. В.</v>
      </c>
      <c r="C27" s="112">
        <f>SUMIF('Таблица Учитель-Предмет'!$D28:$D70,$B27,'Таблица Учитель-Предмет'!F28:F70)</f>
        <v>104</v>
      </c>
      <c r="D27" s="112">
        <f>SUMIF('Таблица Учитель-Предмет'!$D28:$D70,$B27,'Таблица Учитель-Предмет'!G28:G70)</f>
        <v>16</v>
      </c>
      <c r="E27" s="112">
        <f>SUMIF('Таблица Учитель-Предмет'!$D28:$D70,$B27,'Таблица Учитель-Предмет'!H28:H70)</f>
        <v>48</v>
      </c>
      <c r="F27" s="112">
        <f>SUMIF('Таблица Учитель-Предмет'!$D28:$D70,$B27,'Таблица Учитель-Предмет'!I28:I70)</f>
        <v>38</v>
      </c>
      <c r="G27" s="112">
        <f>SUMIF('Таблица Учитель-Предмет'!$D28:$D70,$B27,'Таблица Учитель-Предмет'!J28:J70)</f>
        <v>2</v>
      </c>
      <c r="H27" s="112">
        <f>SUMIF('Таблица Учитель-Предмет'!$D28:$D70,$B27,'Таблица Учитель-Предмет'!K28:K70)</f>
        <v>0</v>
      </c>
      <c r="I27" s="112">
        <f>SUMIF('Таблица Учитель-Предмет'!$D28:$D70,$B27,'Таблица Учитель-Предмет'!L28:L70)</f>
        <v>0</v>
      </c>
      <c r="J27" s="115">
        <f t="shared" si="0"/>
        <v>3.75</v>
      </c>
      <c r="K27" s="116">
        <f t="shared" si="1"/>
        <v>0.98076923076923073</v>
      </c>
      <c r="L27" s="116">
        <f t="shared" si="2"/>
        <v>0.61538461538461542</v>
      </c>
      <c r="M27" s="116">
        <f t="shared" si="3"/>
        <v>0.58384615384615379</v>
      </c>
      <c r="N27" s="116">
        <f t="shared" si="4"/>
        <v>0.52307692307692311</v>
      </c>
      <c r="O27" s="115">
        <f>SUMIFS('Таблица общая'!T$6:T$159,'Таблица общая'!U$6:U$159,A27)/COUNTIF('Таблица общая'!U$6:U$159,A27)</f>
        <v>9.8937037037037037</v>
      </c>
    </row>
    <row r="28" spans="1:15">
      <c r="A28" s="113">
        <f>Список!I37</f>
        <v>32</v>
      </c>
      <c r="B28" s="114" t="str">
        <f>Список!J37</f>
        <v>Попова Т. А.</v>
      </c>
      <c r="C28" s="112">
        <f>SUMIF('Таблица Учитель-Предмет'!$D29:$D70,$B28,'Таблица Учитель-Предмет'!F29:F70)</f>
        <v>156</v>
      </c>
      <c r="D28" s="112">
        <f>SUMIF('Таблица Учитель-Предмет'!$D29:$D70,$B28,'Таблица Учитель-Предмет'!G29:G70)</f>
        <v>24</v>
      </c>
      <c r="E28" s="112">
        <f>SUMIF('Таблица Учитель-Предмет'!$D29:$D70,$B28,'Таблица Учитель-Предмет'!H29:H70)</f>
        <v>54</v>
      </c>
      <c r="F28" s="112">
        <f>SUMIF('Таблица Учитель-Предмет'!$D29:$D70,$B28,'Таблица Учитель-Предмет'!I29:I70)</f>
        <v>76</v>
      </c>
      <c r="G28" s="112">
        <f>SUMIF('Таблица Учитель-Предмет'!$D29:$D70,$B28,'Таблица Учитель-Предмет'!J29:J70)</f>
        <v>2</v>
      </c>
      <c r="H28" s="112">
        <f>SUMIF('Таблица Учитель-Предмет'!$D29:$D70,$B28,'Таблица Учитель-Предмет'!K29:K70)</f>
        <v>0</v>
      </c>
      <c r="I28" s="112">
        <f>SUMIF('Таблица Учитель-Предмет'!$D29:$D70,$B28,'Таблица Учитель-Предмет'!L29:L70)</f>
        <v>0</v>
      </c>
      <c r="J28" s="115">
        <f t="shared" si="0"/>
        <v>3.641025641025641</v>
      </c>
      <c r="K28" s="116">
        <f t="shared" si="1"/>
        <v>0.98717948717948723</v>
      </c>
      <c r="L28" s="116">
        <f t="shared" si="2"/>
        <v>0.5</v>
      </c>
      <c r="M28" s="116">
        <f t="shared" si="3"/>
        <v>0.55282051282051281</v>
      </c>
      <c r="N28" s="116">
        <f t="shared" si="4"/>
        <v>0.43076923076923079</v>
      </c>
      <c r="O28" s="115">
        <f>SUMIFS('Таблица общая'!T$6:T$159,'Таблица общая'!U$6:U$159,A28)/COUNTIF('Таблица общая'!U$6:U$159,A28)</f>
        <v>8.9014478114478131</v>
      </c>
    </row>
    <row r="29" spans="1:15">
      <c r="A29" s="113">
        <f>Список!I38</f>
        <v>33</v>
      </c>
      <c r="B29" s="114" t="str">
        <f>Список!J38</f>
        <v>Простова Н. А.</v>
      </c>
      <c r="C29" s="112">
        <f>SUMIF('Таблица Учитель-Предмет'!$D30:$D70,$B29,'Таблица Учитель-Предмет'!F30:F70)</f>
        <v>77</v>
      </c>
      <c r="D29" s="112">
        <f>SUMIF('Таблица Учитель-Предмет'!$D30:$D70,$B29,'Таблица Учитель-Предмет'!G30:G70)</f>
        <v>6</v>
      </c>
      <c r="E29" s="112">
        <f>SUMIF('Таблица Учитель-Предмет'!$D30:$D70,$B29,'Таблица Учитель-Предмет'!H30:H70)</f>
        <v>25</v>
      </c>
      <c r="F29" s="112">
        <f>SUMIF('Таблица Учитель-Предмет'!$D30:$D70,$B29,'Таблица Учитель-Предмет'!I30:I70)</f>
        <v>46</v>
      </c>
      <c r="G29" s="112">
        <f>SUMIF('Таблица Учитель-Предмет'!$D30:$D70,$B29,'Таблица Учитель-Предмет'!J30:J70)</f>
        <v>0</v>
      </c>
      <c r="H29" s="112">
        <f>SUMIF('Таблица Учитель-Предмет'!$D30:$D70,$B29,'Таблица Учитель-Предмет'!K30:K70)</f>
        <v>0</v>
      </c>
      <c r="I29" s="112">
        <f>SUMIF('Таблица Учитель-Предмет'!$D30:$D70,$B29,'Таблица Учитель-Предмет'!L30:L70)</f>
        <v>0</v>
      </c>
      <c r="J29" s="115">
        <f t="shared" si="0"/>
        <v>3.4805194805194803</v>
      </c>
      <c r="K29" s="116">
        <f t="shared" si="1"/>
        <v>1</v>
      </c>
      <c r="L29" s="116">
        <f t="shared" si="2"/>
        <v>0.40259740259740262</v>
      </c>
      <c r="M29" s="116">
        <f t="shared" si="3"/>
        <v>0.50077922077922077</v>
      </c>
      <c r="N29" s="116">
        <f t="shared" si="4"/>
        <v>0.33766233766233766</v>
      </c>
      <c r="O29" s="115">
        <f>SUMIFS('Таблица общая'!T$6:T$159,'Таблица общая'!U$6:U$159,A29)/COUNTIF('Таблица общая'!U$6:U$159,A29)</f>
        <v>12.799393939393939</v>
      </c>
    </row>
    <row r="30" spans="1:15">
      <c r="A30" s="113">
        <f>Список!I39</f>
        <v>34</v>
      </c>
      <c r="B30" s="114" t="str">
        <f>Список!J39</f>
        <v>Руденко Н.Ю.</v>
      </c>
      <c r="C30" s="112">
        <f>SUMIF('Таблица Учитель-Предмет'!$D31:$D70,$B30,'Таблица Учитель-Предмет'!F31:F70)</f>
        <v>243</v>
      </c>
      <c r="D30" s="112">
        <f>SUMIF('Таблица Учитель-Предмет'!$D31:$D70,$B30,'Таблица Учитель-Предмет'!G31:G70)</f>
        <v>43</v>
      </c>
      <c r="E30" s="112">
        <f>SUMIF('Таблица Учитель-Предмет'!$D31:$D70,$B30,'Таблица Учитель-Предмет'!H31:H70)</f>
        <v>112</v>
      </c>
      <c r="F30" s="112">
        <f>SUMIF('Таблица Учитель-Предмет'!$D31:$D70,$B30,'Таблица Учитель-Предмет'!I31:I70)</f>
        <v>86</v>
      </c>
      <c r="G30" s="112">
        <f>SUMIF('Таблица Учитель-Предмет'!$D31:$D70,$B30,'Таблица Учитель-Предмет'!J31:J70)</f>
        <v>1</v>
      </c>
      <c r="H30" s="112">
        <f>SUMIF('Таблица Учитель-Предмет'!$D31:$D70,$B30,'Таблица Учитель-Предмет'!K31:K70)</f>
        <v>1</v>
      </c>
      <c r="I30" s="112">
        <f>SUMIF('Таблица Учитель-Предмет'!$D31:$D70,$B30,'Таблица Учитель-Предмет'!L31:L70)</f>
        <v>0</v>
      </c>
      <c r="J30" s="115">
        <f t="shared" si="0"/>
        <v>3.7983539094650207</v>
      </c>
      <c r="K30" s="116">
        <f t="shared" si="1"/>
        <v>0.99176954732510292</v>
      </c>
      <c r="L30" s="116">
        <f t="shared" si="2"/>
        <v>0.63786008230452673</v>
      </c>
      <c r="M30" s="116">
        <f t="shared" si="3"/>
        <v>0.60000000000000009</v>
      </c>
      <c r="N30" s="116">
        <f t="shared" si="4"/>
        <v>0.54567901234567906</v>
      </c>
      <c r="O30" s="115">
        <f>SUMIFS('Таблица общая'!T$6:T$159,'Таблица общая'!U$6:U$159,A30)/COUNTIF('Таблица общая'!U$6:U$159,A30)</f>
        <v>4.7532162530246822</v>
      </c>
    </row>
    <row r="31" spans="1:15">
      <c r="A31" s="113">
        <f>Список!I41</f>
        <v>36</v>
      </c>
      <c r="B31" s="114" t="str">
        <f>Список!J41</f>
        <v>Самойленко Н. Ф.</v>
      </c>
      <c r="C31" s="112">
        <f>SUMIF('Таблица Учитель-Предмет'!$D33:$D70,$B31,'Таблица Учитель-Предмет'!F33:F70)</f>
        <v>141</v>
      </c>
      <c r="D31" s="112">
        <f>SUMIF('Таблица Учитель-Предмет'!$D33:$D70,$B31,'Таблица Учитель-Предмет'!G33:G70)</f>
        <v>71</v>
      </c>
      <c r="E31" s="112">
        <f>SUMIF('Таблица Учитель-Предмет'!$D33:$D70,$B31,'Таблица Учитель-Предмет'!H33:H70)</f>
        <v>53</v>
      </c>
      <c r="F31" s="112">
        <f>SUMIF('Таблица Учитель-Предмет'!$D33:$D70,$B31,'Таблица Учитель-Предмет'!I33:I70)</f>
        <v>17</v>
      </c>
      <c r="G31" s="112">
        <f>SUMIF('Таблица Учитель-Предмет'!$D33:$D70,$B31,'Таблица Учитель-Предмет'!J33:J70)</f>
        <v>0</v>
      </c>
      <c r="H31" s="112">
        <f>SUMIF('Таблица Учитель-Предмет'!$D33:$D70,$B31,'Таблица Учитель-Предмет'!K33:K70)</f>
        <v>0</v>
      </c>
      <c r="I31" s="112">
        <f>SUMIF('Таблица Учитель-Предмет'!$D33:$D70,$B31,'Таблица Учитель-Предмет'!L33:L70)</f>
        <v>0</v>
      </c>
      <c r="J31" s="115">
        <f t="shared" si="0"/>
        <v>4.3829787234042552</v>
      </c>
      <c r="K31" s="116">
        <f t="shared" si="1"/>
        <v>1</v>
      </c>
      <c r="L31" s="116">
        <f t="shared" si="2"/>
        <v>0.87943262411347523</v>
      </c>
      <c r="M31" s="116">
        <f t="shared" si="3"/>
        <v>0.7875177304964539</v>
      </c>
      <c r="N31" s="116">
        <f t="shared" si="4"/>
        <v>0.80425531914893622</v>
      </c>
      <c r="O31" s="115">
        <f>SUMIFS('Таблица общая'!T$6:T$159,'Таблица общая'!U$6:U$159,A31)/COUNTIF('Таблица общая'!U$6:U$159,A31)</f>
        <v>8.44516872016872</v>
      </c>
    </row>
    <row r="32" spans="1:15">
      <c r="A32" s="113">
        <f>Список!I42</f>
        <v>37</v>
      </c>
      <c r="B32" s="114" t="str">
        <f>Список!J42</f>
        <v>Скокова Е. В.</v>
      </c>
      <c r="C32" s="112">
        <f>SUMIF('Таблица Учитель-Предмет'!$D34:$D70,$B32,'Таблица Учитель-Предмет'!F34:F70)</f>
        <v>82</v>
      </c>
      <c r="D32" s="112">
        <f>SUMIF('Таблица Учитель-Предмет'!$D34:$D70,$B32,'Таблица Учитель-Предмет'!G34:G70)</f>
        <v>2</v>
      </c>
      <c r="E32" s="112">
        <f>SUMIF('Таблица Учитель-Предмет'!$D34:$D70,$B32,'Таблица Учитель-Предмет'!H34:H70)</f>
        <v>31</v>
      </c>
      <c r="F32" s="112">
        <f>SUMIF('Таблица Учитель-Предмет'!$D34:$D70,$B32,'Таблица Учитель-Предмет'!I34:I70)</f>
        <v>49</v>
      </c>
      <c r="G32" s="112">
        <f>SUMIF('Таблица Учитель-Предмет'!$D34:$D70,$B32,'Таблица Учитель-Предмет'!J34:J70)</f>
        <v>0</v>
      </c>
      <c r="H32" s="112">
        <f>SUMIF('Таблица Учитель-Предмет'!$D34:$D70,$B32,'Таблица Учитель-Предмет'!K34:K70)</f>
        <v>0</v>
      </c>
      <c r="I32" s="112">
        <f>SUMIF('Таблица Учитель-Предмет'!$D34:$D70,$B32,'Таблица Учитель-Предмет'!L34:L70)</f>
        <v>0</v>
      </c>
      <c r="J32" s="115">
        <f t="shared" si="0"/>
        <v>3.4268292682926829</v>
      </c>
      <c r="K32" s="116">
        <f t="shared" si="1"/>
        <v>1</v>
      </c>
      <c r="L32" s="116">
        <f t="shared" si="2"/>
        <v>0.40243902439024393</v>
      </c>
      <c r="M32" s="116">
        <f t="shared" si="3"/>
        <v>0.48146341463414638</v>
      </c>
      <c r="N32" s="116">
        <f t="shared" si="4"/>
        <v>0.32682926829268294</v>
      </c>
      <c r="O32" s="115">
        <f>SUMIFS('Таблица общая'!T$6:T$159,'Таблица общая'!U$6:U$159,A32)/COUNTIF('Таблица общая'!U$6:U$159,A32)</f>
        <v>8.7597001763668434</v>
      </c>
    </row>
    <row r="33" spans="1:15">
      <c r="A33" s="113">
        <f>Список!I43</f>
        <v>38</v>
      </c>
      <c r="B33" s="114" t="str">
        <f>Список!J43</f>
        <v>Сорокина М. В.</v>
      </c>
      <c r="C33" s="112">
        <f>SUMIF('Таблица Учитель-Предмет'!$D35:$D70,$B33,'Таблица Учитель-Предмет'!F35:F70)</f>
        <v>121</v>
      </c>
      <c r="D33" s="112">
        <f>SUMIF('Таблица Учитель-Предмет'!$D35:$D70,$B33,'Таблица Учитель-Предмет'!G35:G70)</f>
        <v>56</v>
      </c>
      <c r="E33" s="112">
        <f>SUMIF('Таблица Учитель-Предмет'!$D35:$D70,$B33,'Таблица Учитель-Предмет'!H35:H70)</f>
        <v>47</v>
      </c>
      <c r="F33" s="112">
        <f>SUMIF('Таблица Учитель-Предмет'!$D35:$D70,$B33,'Таблица Учитель-Предмет'!I35:I70)</f>
        <v>18</v>
      </c>
      <c r="G33" s="112">
        <f>SUMIF('Таблица Учитель-Предмет'!$D35:$D70,$B33,'Таблица Учитель-Предмет'!J35:J70)</f>
        <v>0</v>
      </c>
      <c r="H33" s="112">
        <f>SUMIF('Таблица Учитель-Предмет'!$D35:$D70,$B33,'Таблица Учитель-Предмет'!K35:K70)</f>
        <v>0</v>
      </c>
      <c r="I33" s="112">
        <f>SUMIF('Таблица Учитель-Предмет'!$D35:$D70,$B33,'Таблица Учитель-Предмет'!L35:L70)</f>
        <v>0</v>
      </c>
      <c r="J33" s="115">
        <f t="shared" si="0"/>
        <v>4.3140495867768598</v>
      </c>
      <c r="K33" s="116">
        <f t="shared" si="1"/>
        <v>1</v>
      </c>
      <c r="L33" s="116">
        <f t="shared" si="2"/>
        <v>0.85123966942148765</v>
      </c>
      <c r="M33" s="116">
        <f t="shared" si="3"/>
        <v>0.76495867768595038</v>
      </c>
      <c r="N33" s="116">
        <f t="shared" si="4"/>
        <v>0.77355371900826442</v>
      </c>
      <c r="O33" s="115">
        <f>SUMIFS('Таблица общая'!T$6:T$159,'Таблица общая'!U$6:U$159,A33)/COUNTIF('Таблица общая'!U$6:U$159,A33)</f>
        <v>9.5452188940092171</v>
      </c>
    </row>
    <row r="34" spans="1:15">
      <c r="A34" s="113">
        <f>Список!I44</f>
        <v>39</v>
      </c>
      <c r="B34" s="114" t="str">
        <f>Список!J44</f>
        <v xml:space="preserve">Тулинов Н. И. </v>
      </c>
      <c r="C34" s="112">
        <f>SUMIF('Таблица Учитель-Предмет'!$D36:$D70,$B34,'Таблица Учитель-Предмет'!F36:F70)</f>
        <v>82</v>
      </c>
      <c r="D34" s="112">
        <f>SUMIF('Таблица Учитель-Предмет'!$D36:$D70,$B34,'Таблица Учитель-Предмет'!G36:G70)</f>
        <v>22</v>
      </c>
      <c r="E34" s="112">
        <f>SUMIF('Таблица Учитель-Предмет'!$D36:$D70,$B34,'Таблица Учитель-Предмет'!H36:H70)</f>
        <v>35</v>
      </c>
      <c r="F34" s="112">
        <f>SUMIF('Таблица Учитель-Предмет'!$D36:$D70,$B34,'Таблица Учитель-Предмет'!I36:I70)</f>
        <v>25</v>
      </c>
      <c r="G34" s="112">
        <f>SUMIF('Таблица Учитель-Предмет'!$D36:$D70,$B34,'Таблица Учитель-Предмет'!J36:J70)</f>
        <v>0</v>
      </c>
      <c r="H34" s="112">
        <f>SUMIF('Таблица Учитель-Предмет'!$D36:$D70,$B34,'Таблица Учитель-Предмет'!K36:K70)</f>
        <v>0</v>
      </c>
      <c r="I34" s="112">
        <f>SUMIF('Таблица Учитель-Предмет'!$D36:$D70,$B34,'Таблица Учитель-Предмет'!L36:L70)</f>
        <v>0</v>
      </c>
      <c r="J34" s="115">
        <f t="shared" si="0"/>
        <v>3.9634146341463414</v>
      </c>
      <c r="K34" s="116">
        <f t="shared" si="1"/>
        <v>1</v>
      </c>
      <c r="L34" s="116">
        <f t="shared" si="2"/>
        <v>0.69512195121951215</v>
      </c>
      <c r="M34" s="116">
        <f t="shared" si="3"/>
        <v>0.65121951219512197</v>
      </c>
      <c r="N34" s="116">
        <f t="shared" si="4"/>
        <v>0.6097560975609756</v>
      </c>
      <c r="O34" s="115">
        <f>SUMIFS('Таблица общая'!T$6:T$159,'Таблица общая'!U$6:U$159,A34)/COUNTIF('Таблица общая'!U$6:U$159,A34)</f>
        <v>6.529345385796999</v>
      </c>
    </row>
    <row r="35" spans="1:15">
      <c r="A35" s="113">
        <f>Список!I47</f>
        <v>42</v>
      </c>
      <c r="B35" s="114" t="str">
        <f>Список!J47</f>
        <v>Юркова М. Ю.</v>
      </c>
      <c r="C35" s="112">
        <f>SUMIF('Таблица Учитель-Предмет'!$D38:$D70,$B35,'Таблица Учитель-Предмет'!F38:F70)</f>
        <v>196</v>
      </c>
      <c r="D35" s="112">
        <f>SUMIF('Таблица Учитель-Предмет'!$D38:$D70,$B35,'Таблица Учитель-Предмет'!G38:G70)</f>
        <v>54</v>
      </c>
      <c r="E35" s="112">
        <f>SUMIF('Таблица Учитель-Предмет'!$D38:$D70,$B35,'Таблица Учитель-Предмет'!H38:H70)</f>
        <v>67</v>
      </c>
      <c r="F35" s="112">
        <f>SUMIF('Таблица Учитель-Предмет'!$D38:$D70,$B35,'Таблица Учитель-Предмет'!I38:I70)</f>
        <v>74</v>
      </c>
      <c r="G35" s="112">
        <f>SUMIF('Таблица Учитель-Предмет'!$D38:$D70,$B35,'Таблица Учитель-Предмет'!J38:J70)</f>
        <v>0</v>
      </c>
      <c r="H35" s="112">
        <f>SUMIF('Таблица Учитель-Предмет'!$D38:$D70,$B35,'Таблица Учитель-Предмет'!K38:K70)</f>
        <v>1</v>
      </c>
      <c r="I35" s="112">
        <f>SUMIF('Таблица Учитель-Предмет'!$D38:$D70,$B35,'Таблица Учитель-Предмет'!L38:L70)</f>
        <v>0</v>
      </c>
      <c r="J35" s="115">
        <f t="shared" si="0"/>
        <v>3.8775510204081631</v>
      </c>
      <c r="K35" s="116">
        <f t="shared" si="1"/>
        <v>0.99489795918367352</v>
      </c>
      <c r="L35" s="116">
        <f t="shared" si="2"/>
        <v>0.61734693877551017</v>
      </c>
      <c r="M35" s="116">
        <f t="shared" si="3"/>
        <v>0.63020408163265307</v>
      </c>
      <c r="N35" s="116">
        <f t="shared" si="4"/>
        <v>0.54897959183673473</v>
      </c>
      <c r="O35" s="115">
        <f>SUMIFS('Таблица общая'!T$6:T$159,'Таблица общая'!U$6:U$159,A35)/COUNTIF('Таблица общая'!U$6:U$159,A35)</f>
        <v>3.8826756913442733</v>
      </c>
    </row>
    <row r="36" spans="1:15">
      <c r="A36" s="113">
        <f>Список!I48</f>
        <v>43</v>
      </c>
      <c r="B36" s="114" t="str">
        <f>Список!J48</f>
        <v>Ящук Е. Ю.</v>
      </c>
      <c r="C36" s="112">
        <f>SUMIF('Таблица Учитель-Предмет'!$D39:$D70,$B36,'Таблица Учитель-Предмет'!F39:F70)</f>
        <v>89</v>
      </c>
      <c r="D36" s="112">
        <f>SUMIF('Таблица Учитель-Предмет'!$D39:$D70,$B36,'Таблица Учитель-Предмет'!G39:G70)</f>
        <v>28</v>
      </c>
      <c r="E36" s="112">
        <f>SUMIF('Таблица Учитель-Предмет'!$D39:$D70,$B36,'Таблица Учитель-Предмет'!H39:H70)</f>
        <v>30</v>
      </c>
      <c r="F36" s="112">
        <f>SUMIF('Таблица Учитель-Предмет'!$D39:$D70,$B36,'Таблица Учитель-Предмет'!I39:I70)</f>
        <v>30</v>
      </c>
      <c r="G36" s="112">
        <f>SUMIF('Таблица Учитель-Предмет'!$D39:$D70,$B36,'Таблица Учитель-Предмет'!J39:J70)</f>
        <v>0</v>
      </c>
      <c r="H36" s="112">
        <f>SUMIF('Таблица Учитель-Предмет'!$D39:$D70,$B36,'Таблица Учитель-Предмет'!K39:K70)</f>
        <v>1</v>
      </c>
      <c r="I36" s="112">
        <f>SUMIF('Таблица Учитель-Предмет'!$D39:$D70,$B36,'Таблица Учитель-Предмет'!L39:L70)</f>
        <v>0</v>
      </c>
      <c r="J36" s="115">
        <f t="shared" si="0"/>
        <v>3.9325842696629212</v>
      </c>
      <c r="K36" s="116">
        <f t="shared" si="1"/>
        <v>0.9887640449438202</v>
      </c>
      <c r="L36" s="116">
        <f t="shared" si="2"/>
        <v>0.651685393258427</v>
      </c>
      <c r="M36" s="116">
        <f t="shared" si="3"/>
        <v>0.651685393258427</v>
      </c>
      <c r="N36" s="116">
        <f t="shared" si="4"/>
        <v>0.5842696629213483</v>
      </c>
      <c r="O36" s="115">
        <f>SUMIFS('Таблица общая'!T$6:T$159,'Таблица общая'!U$6:U$159,A36)/COUNTIF('Таблица общая'!U$6:U$159,A36)</f>
        <v>8.1927203065134098</v>
      </c>
    </row>
    <row r="37" spans="1:15">
      <c r="A37" s="20"/>
      <c r="B37" s="21"/>
      <c r="C37" s="8"/>
      <c r="D37" s="8"/>
      <c r="E37" s="8"/>
      <c r="F37" s="8"/>
      <c r="G37" s="8"/>
      <c r="H37" s="8"/>
      <c r="I37" s="8"/>
      <c r="J37" s="9"/>
      <c r="K37" s="19"/>
      <c r="L37" s="19"/>
      <c r="M37" s="19"/>
      <c r="N37" s="19"/>
    </row>
    <row r="38" spans="1:15">
      <c r="A38" s="20"/>
      <c r="B38" s="21"/>
      <c r="C38" s="8"/>
      <c r="D38" s="8"/>
      <c r="E38" s="8"/>
      <c r="F38" s="8"/>
      <c r="G38" s="8"/>
      <c r="H38" s="8"/>
      <c r="I38" s="8"/>
      <c r="J38" s="9"/>
      <c r="K38" s="19"/>
      <c r="L38" s="19"/>
      <c r="M38" s="19"/>
      <c r="N38" s="19"/>
    </row>
    <row r="39" spans="1:15">
      <c r="A39" s="20"/>
      <c r="B39" s="21"/>
      <c r="C39" s="8"/>
      <c r="D39" s="8"/>
      <c r="E39" s="8"/>
      <c r="F39" s="8"/>
      <c r="G39" s="8"/>
      <c r="H39" s="8"/>
      <c r="I39" s="8"/>
      <c r="J39" s="9"/>
      <c r="K39" s="19"/>
      <c r="L39" s="19"/>
      <c r="M39" s="19"/>
      <c r="N39" s="19"/>
    </row>
    <row r="40" spans="1:15">
      <c r="A40" s="20"/>
      <c r="B40" s="21"/>
      <c r="C40" s="8"/>
      <c r="D40" s="8"/>
      <c r="E40" s="8"/>
      <c r="F40" s="8"/>
      <c r="G40" s="8"/>
      <c r="H40" s="8"/>
      <c r="I40" s="8"/>
      <c r="J40" s="9"/>
      <c r="K40" s="19"/>
      <c r="L40" s="19"/>
      <c r="M40" s="19"/>
      <c r="N40" s="19"/>
    </row>
    <row r="41" spans="1:15">
      <c r="A41" s="20"/>
      <c r="B41" s="21"/>
      <c r="C41" s="8"/>
      <c r="D41" s="8"/>
      <c r="E41" s="8"/>
      <c r="F41" s="8"/>
      <c r="G41" s="8"/>
      <c r="H41" s="8"/>
      <c r="I41" s="8"/>
      <c r="J41" s="9"/>
      <c r="K41" s="19"/>
      <c r="L41" s="19"/>
      <c r="M41" s="19"/>
      <c r="N41" s="19"/>
    </row>
    <row r="42" spans="1:15">
      <c r="A42" s="20"/>
      <c r="B42" s="21"/>
      <c r="C42" s="8"/>
      <c r="D42" s="8"/>
      <c r="E42" s="8"/>
      <c r="F42" s="8"/>
      <c r="G42" s="8"/>
      <c r="H42" s="8"/>
      <c r="I42" s="8"/>
      <c r="J42" s="9"/>
      <c r="K42" s="19"/>
      <c r="L42" s="19"/>
      <c r="M42" s="19"/>
      <c r="N42" s="19"/>
    </row>
    <row r="43" spans="1:15">
      <c r="A43" s="20"/>
      <c r="B43" s="21"/>
      <c r="C43" s="8"/>
      <c r="D43" s="8"/>
      <c r="E43" s="8"/>
      <c r="F43" s="8"/>
      <c r="G43" s="8"/>
      <c r="H43" s="8"/>
      <c r="I43" s="8"/>
      <c r="J43" s="9"/>
      <c r="K43" s="19"/>
      <c r="L43" s="19"/>
      <c r="M43" s="19"/>
      <c r="N43" s="19"/>
    </row>
    <row r="44" spans="1:15">
      <c r="A44" s="20"/>
      <c r="B44" s="21"/>
      <c r="C44" s="8"/>
      <c r="D44" s="8"/>
      <c r="E44" s="8"/>
      <c r="F44" s="8"/>
      <c r="G44" s="8"/>
      <c r="H44" s="8"/>
      <c r="I44" s="8"/>
      <c r="J44" s="9"/>
      <c r="K44" s="19"/>
      <c r="L44" s="19"/>
      <c r="M44" s="19"/>
      <c r="N44" s="19"/>
    </row>
    <row r="45" spans="1:15">
      <c r="A45" s="20"/>
      <c r="B45" s="21"/>
      <c r="C45" s="8"/>
      <c r="D45" s="8"/>
      <c r="E45" s="8"/>
      <c r="F45" s="8"/>
      <c r="G45" s="8"/>
      <c r="H45" s="8"/>
      <c r="I45" s="8"/>
      <c r="J45" s="9"/>
      <c r="K45" s="19"/>
      <c r="L45" s="19"/>
      <c r="M45" s="19"/>
      <c r="N45" s="19"/>
    </row>
    <row r="46" spans="1:15">
      <c r="A46" s="20"/>
      <c r="B46" s="21"/>
      <c r="C46" s="8"/>
      <c r="D46" s="8"/>
      <c r="E46" s="8"/>
      <c r="F46" s="8"/>
      <c r="G46" s="8"/>
      <c r="H46" s="8"/>
      <c r="I46" s="8"/>
      <c r="J46" s="9"/>
      <c r="K46" s="19"/>
      <c r="L46" s="19"/>
      <c r="M46" s="19"/>
      <c r="N46" s="19"/>
    </row>
    <row r="47" spans="1:15">
      <c r="A47" s="20"/>
      <c r="B47" s="21"/>
      <c r="C47" s="8"/>
      <c r="D47" s="8"/>
      <c r="E47" s="8"/>
      <c r="F47" s="8"/>
      <c r="G47" s="8"/>
      <c r="H47" s="8"/>
      <c r="I47" s="8"/>
      <c r="J47" s="9"/>
      <c r="K47" s="19"/>
      <c r="L47" s="19"/>
      <c r="M47" s="19"/>
      <c r="N47" s="19"/>
    </row>
    <row r="48" spans="1:15">
      <c r="A48" s="20"/>
      <c r="B48" s="21"/>
      <c r="C48" s="8"/>
      <c r="D48" s="8"/>
      <c r="E48" s="8"/>
      <c r="F48" s="8"/>
      <c r="G48" s="8"/>
      <c r="H48" s="8"/>
      <c r="I48" s="8"/>
      <c r="J48" s="9"/>
      <c r="K48" s="19"/>
      <c r="L48" s="19"/>
      <c r="M48" s="19"/>
      <c r="N48" s="19"/>
    </row>
    <row r="49" spans="1:14">
      <c r="A49" s="20"/>
      <c r="B49" s="21"/>
      <c r="C49" s="8"/>
      <c r="D49" s="8"/>
      <c r="E49" s="8"/>
      <c r="F49" s="8"/>
      <c r="G49" s="8"/>
      <c r="H49" s="8"/>
      <c r="I49" s="8"/>
      <c r="J49" s="9"/>
      <c r="K49" s="19"/>
      <c r="L49" s="19"/>
      <c r="M49" s="19"/>
      <c r="N49" s="19"/>
    </row>
    <row r="50" spans="1:14">
      <c r="A50" s="20"/>
      <c r="B50" s="21"/>
      <c r="C50" s="8"/>
      <c r="D50" s="8"/>
      <c r="E50" s="8"/>
      <c r="F50" s="8"/>
      <c r="G50" s="8"/>
      <c r="H50" s="8"/>
      <c r="I50" s="8"/>
      <c r="J50" s="9"/>
      <c r="K50" s="19"/>
      <c r="L50" s="19"/>
      <c r="M50" s="19"/>
      <c r="N50" s="19"/>
    </row>
    <row r="51" spans="1:14">
      <c r="A51" s="20"/>
      <c r="B51" s="21"/>
      <c r="C51" s="8"/>
      <c r="D51" s="8"/>
      <c r="E51" s="8"/>
      <c r="F51" s="8"/>
      <c r="G51" s="8"/>
      <c r="H51" s="8"/>
      <c r="I51" s="8"/>
      <c r="J51" s="9"/>
      <c r="K51" s="19"/>
      <c r="L51" s="19"/>
      <c r="M51" s="19"/>
      <c r="N51" s="19"/>
    </row>
    <row r="52" spans="1:14">
      <c r="A52" s="20"/>
      <c r="B52" s="21"/>
      <c r="C52" s="8"/>
      <c r="D52" s="8"/>
      <c r="E52" s="8"/>
      <c r="F52" s="8"/>
      <c r="G52" s="8"/>
      <c r="H52" s="8"/>
      <c r="I52" s="8"/>
      <c r="J52" s="9"/>
      <c r="K52" s="19"/>
      <c r="L52" s="19"/>
      <c r="M52" s="19"/>
      <c r="N52" s="19"/>
    </row>
    <row r="53" spans="1:14">
      <c r="A53" s="20"/>
      <c r="B53" s="21"/>
      <c r="C53" s="8"/>
      <c r="D53" s="8"/>
      <c r="E53" s="8"/>
      <c r="F53" s="8"/>
      <c r="G53" s="8"/>
      <c r="H53" s="8"/>
      <c r="I53" s="8"/>
      <c r="J53" s="9"/>
      <c r="K53" s="19"/>
      <c r="L53" s="19"/>
      <c r="M53" s="19"/>
      <c r="N53" s="19"/>
    </row>
    <row r="54" spans="1:14">
      <c r="A54" s="20"/>
      <c r="B54" s="21"/>
      <c r="C54" s="8"/>
      <c r="D54" s="8"/>
      <c r="E54" s="8"/>
      <c r="F54" s="8"/>
      <c r="G54" s="8"/>
      <c r="H54" s="8"/>
      <c r="I54" s="8"/>
      <c r="J54" s="9"/>
      <c r="K54" s="19"/>
      <c r="L54" s="19"/>
      <c r="M54" s="19"/>
      <c r="N54" s="19"/>
    </row>
    <row r="55" spans="1:14">
      <c r="A55" s="20"/>
      <c r="B55" s="21"/>
      <c r="C55" s="8"/>
      <c r="D55" s="8"/>
      <c r="E55" s="8"/>
      <c r="F55" s="8"/>
      <c r="G55" s="8"/>
      <c r="H55" s="8"/>
      <c r="I55" s="8"/>
      <c r="J55" s="9"/>
      <c r="K55" s="19"/>
      <c r="L55" s="19"/>
      <c r="M55" s="19"/>
      <c r="N55" s="19"/>
    </row>
    <row r="56" spans="1:14">
      <c r="A56" s="20"/>
      <c r="B56" s="21"/>
      <c r="C56" s="8"/>
      <c r="D56" s="8"/>
      <c r="E56" s="8"/>
      <c r="F56" s="8"/>
      <c r="G56" s="8"/>
      <c r="H56" s="8"/>
      <c r="I56" s="8"/>
      <c r="J56" s="9"/>
      <c r="K56" s="19"/>
      <c r="L56" s="19"/>
      <c r="M56" s="19"/>
      <c r="N56" s="19"/>
    </row>
    <row r="57" spans="1:14">
      <c r="A57" s="20"/>
      <c r="B57" s="21"/>
      <c r="C57" s="8"/>
      <c r="D57" s="8"/>
      <c r="E57" s="8"/>
      <c r="F57" s="8"/>
      <c r="G57" s="8"/>
      <c r="H57" s="8"/>
      <c r="I57" s="8"/>
      <c r="J57" s="9"/>
      <c r="K57" s="19"/>
      <c r="L57" s="19"/>
      <c r="M57" s="19"/>
      <c r="N57" s="19"/>
    </row>
    <row r="58" spans="1:14">
      <c r="A58" s="20"/>
      <c r="B58" s="21"/>
      <c r="C58" s="8"/>
      <c r="D58" s="8"/>
      <c r="E58" s="8"/>
      <c r="F58" s="8"/>
      <c r="G58" s="8"/>
      <c r="H58" s="8"/>
      <c r="I58" s="8"/>
      <c r="J58" s="9"/>
      <c r="K58" s="19"/>
      <c r="L58" s="19"/>
      <c r="M58" s="19"/>
      <c r="N58" s="19"/>
    </row>
    <row r="59" spans="1:14">
      <c r="A59" s="20"/>
      <c r="B59" s="21"/>
      <c r="C59" s="8"/>
      <c r="D59" s="8"/>
      <c r="E59" s="8"/>
      <c r="F59" s="8"/>
      <c r="G59" s="8"/>
      <c r="H59" s="8"/>
      <c r="I59" s="8"/>
      <c r="J59" s="9"/>
      <c r="K59" s="19"/>
      <c r="L59" s="19"/>
      <c r="M59" s="19"/>
      <c r="N59" s="19"/>
    </row>
    <row r="60" spans="1:14">
      <c r="A60" s="20"/>
      <c r="B60" s="21"/>
      <c r="C60" s="8"/>
      <c r="D60" s="8"/>
      <c r="E60" s="8"/>
      <c r="F60" s="8"/>
      <c r="G60" s="8"/>
      <c r="H60" s="8"/>
      <c r="I60" s="8"/>
      <c r="J60" s="9"/>
      <c r="K60" s="19"/>
      <c r="L60" s="19"/>
      <c r="M60" s="19"/>
      <c r="N60" s="19"/>
    </row>
    <row r="61" spans="1:14">
      <c r="A61" s="20"/>
      <c r="B61" s="21"/>
      <c r="C61" s="8"/>
      <c r="D61" s="8"/>
      <c r="E61" s="8"/>
      <c r="F61" s="8"/>
      <c r="G61" s="8"/>
      <c r="H61" s="8"/>
      <c r="I61" s="8"/>
      <c r="J61" s="9"/>
      <c r="K61" s="19"/>
      <c r="L61" s="19"/>
      <c r="M61" s="19"/>
      <c r="N61" s="19"/>
    </row>
  </sheetData>
  <sheetProtection sheet="1" objects="1" scenarios="1" formatCells="0" formatColumns="0" formatRows="0" autoFilter="0"/>
  <autoFilter ref="A5:N36"/>
  <mergeCells count="14">
    <mergeCell ref="O3:O4"/>
    <mergeCell ref="B1:N1"/>
    <mergeCell ref="K2:N2"/>
    <mergeCell ref="A3:A4"/>
    <mergeCell ref="B3:B4"/>
    <mergeCell ref="C3:C4"/>
    <mergeCell ref="D3:G3"/>
    <mergeCell ref="N3:N4"/>
    <mergeCell ref="H3:H4"/>
    <mergeCell ref="I3:I4"/>
    <mergeCell ref="J3:J4"/>
    <mergeCell ref="K3:K4"/>
    <mergeCell ref="L3:L4"/>
    <mergeCell ref="M3:M4"/>
  </mergeCells>
  <conditionalFormatting sqref="J37:J61">
    <cfRule type="cellIs" dxfId="63" priority="27" stopIfTrue="1" operator="lessThanOrEqual">
      <formula>3.5</formula>
    </cfRule>
    <cfRule type="cellIs" dxfId="62" priority="28" stopIfTrue="1" operator="between">
      <formula>3.5</formula>
      <formula>4.5</formula>
    </cfRule>
    <cfRule type="cellIs" dxfId="61" priority="29" stopIfTrue="1" operator="greaterThanOrEqual">
      <formula>4.5</formula>
    </cfRule>
  </conditionalFormatting>
  <conditionalFormatting sqref="K37:K61">
    <cfRule type="cellIs" dxfId="60" priority="24" stopIfTrue="1" operator="greaterThanOrEqual">
      <formula>0.975</formula>
    </cfRule>
    <cfRule type="cellIs" dxfId="59" priority="25" stopIfTrue="1" operator="between">
      <formula>0.95</formula>
      <formula>0.975</formula>
    </cfRule>
    <cfRule type="cellIs" dxfId="58" priority="26" stopIfTrue="1" operator="between">
      <formula>0</formula>
      <formula>0.95</formula>
    </cfRule>
  </conditionalFormatting>
  <conditionalFormatting sqref="L6:L61">
    <cfRule type="cellIs" dxfId="57" priority="21" stopIfTrue="1" operator="greaterThanOrEqual">
      <formula>0.75</formula>
    </cfRule>
    <cfRule type="cellIs" dxfId="56" priority="22" stopIfTrue="1" operator="between">
      <formula>0.33</formula>
      <formula>0.75</formula>
    </cfRule>
    <cfRule type="cellIs" dxfId="55" priority="23" stopIfTrue="1" operator="between">
      <formula>0</formula>
      <formula>0.33</formula>
    </cfRule>
  </conditionalFormatting>
  <conditionalFormatting sqref="M6:M61">
    <cfRule type="cellIs" dxfId="54" priority="18" stopIfTrue="1" operator="greaterThanOrEqual">
      <formula>0.8</formula>
    </cfRule>
    <cfRule type="cellIs" dxfId="53" priority="19" stopIfTrue="1" operator="between">
      <formula>0.6</formula>
      <formula>0.8</formula>
    </cfRule>
    <cfRule type="cellIs" dxfId="52" priority="20" stopIfTrue="1" operator="between">
      <formula>0</formula>
      <formula>0.6</formula>
    </cfRule>
  </conditionalFormatting>
  <conditionalFormatting sqref="N6:N61">
    <cfRule type="cellIs" dxfId="51" priority="15" stopIfTrue="1" operator="greaterThanOrEqual">
      <formula>0.85</formula>
    </cfRule>
    <cfRule type="cellIs" dxfId="50" priority="16" stopIfTrue="1" operator="between">
      <formula>0.5</formula>
      <formula>0.85</formula>
    </cfRule>
    <cfRule type="cellIs" dxfId="49" priority="17" stopIfTrue="1" operator="between">
      <formula>0</formula>
      <formula>0.5</formula>
    </cfRule>
  </conditionalFormatting>
  <conditionalFormatting sqref="A6:I61">
    <cfRule type="cellIs" dxfId="48" priority="14" stopIfTrue="1" operator="notEqual">
      <formula>0</formula>
    </cfRule>
  </conditionalFormatting>
  <conditionalFormatting sqref="J6:J36">
    <cfRule type="cellIs" dxfId="47" priority="8" stopIfTrue="1" operator="lessThanOrEqual">
      <formula>3.3</formula>
    </cfRule>
    <cfRule type="cellIs" dxfId="46" priority="9" stopIfTrue="1" operator="between">
      <formula>3.3</formula>
      <formula>4</formula>
    </cfRule>
    <cfRule type="cellIs" dxfId="45" priority="10" stopIfTrue="1" operator="greaterThanOrEqual">
      <formula>4</formula>
    </cfRule>
  </conditionalFormatting>
  <conditionalFormatting sqref="K6:K36">
    <cfRule type="cellIs" dxfId="44" priority="5" stopIfTrue="1" operator="greaterThanOrEqual">
      <formula>0.99</formula>
    </cfRule>
    <cfRule type="cellIs" dxfId="43" priority="6" stopIfTrue="1" operator="between">
      <formula>0.95</formula>
      <formula>0.99</formula>
    </cfRule>
    <cfRule type="cellIs" dxfId="42" priority="7" stopIfTrue="1" operator="between">
      <formula>0</formula>
      <formula>0.95</formula>
    </cfRule>
  </conditionalFormatting>
  <conditionalFormatting sqref="O6:O36">
    <cfRule type="cellIs" dxfId="41" priority="1" operator="greaterThanOrEqual">
      <formula>10</formula>
    </cfRule>
    <cfRule type="cellIs" dxfId="40" priority="2" operator="between">
      <formula>5</formula>
      <formula>10</formula>
    </cfRule>
    <cfRule type="cellIs" dxfId="39" priority="3" operator="lessThanOrEqual">
      <formula>5</formula>
    </cfRule>
  </conditionalFormatting>
  <pageMargins left="0.52" right="0.15748031496062992" top="0.24" bottom="0.18" header="0.18" footer="0.15748031496062992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129"/>
  <dimension ref="A1:N306"/>
  <sheetViews>
    <sheetView showGridLines="0" showRowColHeaders="0" workbookViewId="0">
      <pane ySplit="5" topLeftCell="A6" activePane="bottomLeft" state="frozen"/>
      <selection activeCell="B5" sqref="B5:B104"/>
      <selection pane="bottomLeft" activeCell="K17" sqref="K17"/>
    </sheetView>
  </sheetViews>
  <sheetFormatPr defaultRowHeight="12.75"/>
  <cols>
    <col min="1" max="1" width="7.5" style="1" customWidth="1"/>
    <col min="2" max="2" width="23.83203125" style="64" customWidth="1"/>
    <col min="3" max="3" width="8.1640625" style="3" customWidth="1"/>
    <col min="4" max="7" width="5.83203125" style="3" customWidth="1"/>
    <col min="8" max="9" width="4.5" style="3" customWidth="1"/>
    <col min="10" max="12" width="9.5" style="3" customWidth="1"/>
    <col min="13" max="13" width="13" style="3" customWidth="1"/>
    <col min="14" max="14" width="14.33203125" style="3" customWidth="1"/>
    <col min="15" max="16384" width="9.33203125" style="1"/>
  </cols>
  <sheetData>
    <row r="1" spans="1:14" ht="28.5" customHeight="1">
      <c r="A1" s="222" t="str">
        <f>TRIM(Titul!$B3)</f>
        <v>Муниципальное бюджетное общеобразовательное учреждение: средняя общеобразовательная школа №123 Центрального р-на г.Ростова-на-Дону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</row>
    <row r="2" spans="1:14" s="5" customFormat="1" ht="16.5" customHeight="1">
      <c r="B2" s="71" t="str">
        <f>Titul!D5</f>
        <v>2011/12 учебный год</v>
      </c>
      <c r="C2" s="87" t="s">
        <v>72</v>
      </c>
      <c r="D2" s="4"/>
      <c r="E2" s="4"/>
      <c r="F2" s="4"/>
      <c r="G2" s="4"/>
      <c r="H2" s="4"/>
      <c r="I2" s="4"/>
      <c r="J2" s="4"/>
      <c r="K2" s="184" t="str">
        <f>Titul!D7</f>
        <v>1 четверть</v>
      </c>
      <c r="L2" s="184"/>
      <c r="M2" s="184"/>
      <c r="N2" s="184"/>
    </row>
    <row r="3" spans="1:14" ht="12.75" customHeight="1">
      <c r="A3" s="223"/>
      <c r="B3" s="220" t="s">
        <v>70</v>
      </c>
      <c r="C3" s="220" t="s">
        <v>8</v>
      </c>
      <c r="D3" s="224" t="s">
        <v>17</v>
      </c>
      <c r="E3" s="224"/>
      <c r="F3" s="224"/>
      <c r="G3" s="224"/>
      <c r="H3" s="220" t="s">
        <v>13</v>
      </c>
      <c r="I3" s="220" t="s">
        <v>14</v>
      </c>
      <c r="J3" s="220" t="s">
        <v>32</v>
      </c>
      <c r="K3" s="220" t="s">
        <v>15</v>
      </c>
      <c r="L3" s="220" t="s">
        <v>16</v>
      </c>
      <c r="M3" s="220" t="s">
        <v>68</v>
      </c>
      <c r="N3" s="220" t="s">
        <v>30</v>
      </c>
    </row>
    <row r="4" spans="1:14" s="7" customFormat="1" ht="24" customHeight="1">
      <c r="A4" s="223"/>
      <c r="B4" s="220"/>
      <c r="C4" s="220"/>
      <c r="D4" s="220" t="s">
        <v>9</v>
      </c>
      <c r="E4" s="220" t="s">
        <v>10</v>
      </c>
      <c r="F4" s="220" t="s">
        <v>11</v>
      </c>
      <c r="G4" s="220" t="s">
        <v>12</v>
      </c>
      <c r="H4" s="220"/>
      <c r="I4" s="220"/>
      <c r="J4" s="220"/>
      <c r="K4" s="220"/>
      <c r="L4" s="220"/>
      <c r="M4" s="220"/>
      <c r="N4" s="220"/>
    </row>
    <row r="5" spans="1:14" ht="7.5" customHeight="1">
      <c r="A5" s="221"/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</row>
    <row r="6" spans="1:14" ht="15" customHeight="1">
      <c r="A6" s="81">
        <v>1</v>
      </c>
      <c r="B6" s="36" t="str">
        <f>Список!C6</f>
        <v>Русской филологии</v>
      </c>
      <c r="C6" s="37">
        <f>SUMIF('Таблица общая'!$B$6:$B$159,"1",'Таблица общая'!G$6:G$159)</f>
        <v>493</v>
      </c>
      <c r="D6" s="37">
        <f>SUMIF('Таблица общая'!$B$6:$B$159,"1",'Таблица общая'!H$6:H$159)</f>
        <v>122</v>
      </c>
      <c r="E6" s="37">
        <f>SUMIF('Таблица общая'!$B$6:$B$159,"1",'Таблица общая'!I$6:I$159)</f>
        <v>215</v>
      </c>
      <c r="F6" s="37">
        <f>SUMIF('Таблица общая'!$B$6:$B$159,"1",'Таблица общая'!J$6:J$159)</f>
        <v>156</v>
      </c>
      <c r="G6" s="37">
        <f>SUMIF('Таблица общая'!$B$6:$B$159,"1",'Таблица общая'!K$6:K$159)</f>
        <v>0</v>
      </c>
      <c r="H6" s="37">
        <f>SUMIF('Таблица общая'!$B$6:$B$159,"1",'Таблица общая'!L$6:L$159)</f>
        <v>0</v>
      </c>
      <c r="I6" s="37">
        <f>SUMIF('Таблица общая'!$B$6:$B$159,"1",'Таблица общая'!M$6:M$159)</f>
        <v>0</v>
      </c>
      <c r="J6" s="38">
        <f t="shared" ref="J6:J20" si="0">(5*D6+4*E6+3*F6+2*G6)/(C6-I6)</f>
        <v>3.9310344827586206</v>
      </c>
      <c r="K6" s="39">
        <f t="shared" ref="K6:K20" si="1">(SUM(D6:F6)/(C6-I6))</f>
        <v>1</v>
      </c>
      <c r="L6" s="39">
        <f t="shared" ref="L6:L20" si="2">(SUM(D6:E6)/(C6-I6))</f>
        <v>0.68356997971602429</v>
      </c>
      <c r="M6" s="39">
        <f t="shared" ref="M6:M20" si="3">(D6+E6*0.64+F6*0.36+G6*0.16)/(C6-I6)</f>
        <v>0.64048681541582153</v>
      </c>
      <c r="N6" s="39">
        <f t="shared" ref="N6:N20" si="4">(5*D6+4*E6)/((C6-I6)*5)</f>
        <v>0.59634888438133871</v>
      </c>
    </row>
    <row r="7" spans="1:14" ht="15" customHeight="1">
      <c r="A7" s="81">
        <v>2</v>
      </c>
      <c r="B7" s="36" t="str">
        <f>Список!C7</f>
        <v>Иностранных языков</v>
      </c>
      <c r="C7" s="37">
        <f>SUMIF('Таблица общая'!$B$6:$B$159,"2",'Таблица общая'!G$6:G$159)</f>
        <v>265</v>
      </c>
      <c r="D7" s="37">
        <f>SUMIF('Таблица общая'!$B$6:$B$159,"2",'Таблица общая'!H$6:H$159)</f>
        <v>50</v>
      </c>
      <c r="E7" s="37">
        <f>SUMIF('Таблица общая'!$B$6:$B$159,"2",'Таблица общая'!I$6:I$159)</f>
        <v>115</v>
      </c>
      <c r="F7" s="37">
        <f>SUMIF('Таблица общая'!$B$6:$B$159,"2",'Таблица общая'!J$6:J$159)</f>
        <v>99</v>
      </c>
      <c r="G7" s="37">
        <f>SUMIF('Таблица общая'!$B$6:$B$159,"2",'Таблица общая'!K$6:K$159)</f>
        <v>1</v>
      </c>
      <c r="H7" s="37">
        <f>SUMIF('Таблица общая'!$B$6:$B$159,"2",'Таблица общая'!L$6:L$159)</f>
        <v>0</v>
      </c>
      <c r="I7" s="37">
        <f>SUMIF('Таблица общая'!$B$6:$B$159,"2",'Таблица общая'!M$6:M$159)</f>
        <v>0</v>
      </c>
      <c r="J7" s="38">
        <f t="shared" si="0"/>
        <v>3.8075471698113206</v>
      </c>
      <c r="K7" s="39">
        <f t="shared" si="1"/>
        <v>0.99622641509433962</v>
      </c>
      <c r="L7" s="39">
        <f t="shared" si="2"/>
        <v>0.62264150943396224</v>
      </c>
      <c r="M7" s="39">
        <f t="shared" si="3"/>
        <v>0.6015094339622642</v>
      </c>
      <c r="N7" s="39">
        <f t="shared" si="4"/>
        <v>0.53584905660377358</v>
      </c>
    </row>
    <row r="8" spans="1:14" ht="15" customHeight="1">
      <c r="A8" s="81">
        <v>3</v>
      </c>
      <c r="B8" s="36" t="str">
        <f>Список!C8</f>
        <v>Математики и ИКТ</v>
      </c>
      <c r="C8" s="37">
        <f>SUMIF('Таблица общая'!$B$6:$B$159,"3",'Таблица общая'!G$6:G$159)</f>
        <v>902</v>
      </c>
      <c r="D8" s="37">
        <f>SUMIF('Таблица общая'!$B$6:$B$159,"3",'Таблица общая'!H$6:H$159)</f>
        <v>176</v>
      </c>
      <c r="E8" s="37">
        <f>SUMIF('Таблица общая'!$B$6:$B$159,"3",'Таблица общая'!I$6:I$159)</f>
        <v>350</v>
      </c>
      <c r="F8" s="37">
        <f>SUMIF('Таблица общая'!$B$6:$B$159,"3",'Таблица общая'!J$6:J$159)</f>
        <v>372</v>
      </c>
      <c r="G8" s="37">
        <f>SUMIF('Таблица общая'!$B$6:$B$159,"3",'Таблица общая'!K$6:K$159)</f>
        <v>3</v>
      </c>
      <c r="H8" s="37">
        <f>SUMIF('Таблица общая'!$B$6:$B$159,"3",'Таблица общая'!L$6:L$159)</f>
        <v>1</v>
      </c>
      <c r="I8" s="37">
        <f>SUMIF('Таблица общая'!$B$6:$B$159,"3",'Таблица общая'!M$6:M$159)</f>
        <v>0</v>
      </c>
      <c r="J8" s="38">
        <f t="shared" si="0"/>
        <v>3.7716186252771617</v>
      </c>
      <c r="K8" s="39">
        <f t="shared" si="1"/>
        <v>0.99556541019955658</v>
      </c>
      <c r="L8" s="39">
        <f t="shared" si="2"/>
        <v>0.58314855875831484</v>
      </c>
      <c r="M8" s="39">
        <f t="shared" si="3"/>
        <v>0.59246119733924607</v>
      </c>
      <c r="N8" s="39">
        <f t="shared" si="4"/>
        <v>0.50554323725055428</v>
      </c>
    </row>
    <row r="9" spans="1:14" ht="15" customHeight="1">
      <c r="A9" s="81">
        <v>4</v>
      </c>
      <c r="B9" s="36" t="str">
        <f>Список!C9</f>
        <v>Обществознания</v>
      </c>
      <c r="C9" s="37">
        <f>SUMIF('Таблица общая'!$B$6:$B$159,"4",'Таблица общая'!G$6:G$159)</f>
        <v>155</v>
      </c>
      <c r="D9" s="37">
        <f>SUMIF('Таблица общая'!$B$6:$B$159,"4",'Таблица общая'!H$6:H$159)</f>
        <v>44</v>
      </c>
      <c r="E9" s="37">
        <f>SUMIF('Таблица общая'!$B$6:$B$159,"4",'Таблица общая'!I$6:I$159)</f>
        <v>65</v>
      </c>
      <c r="F9" s="37">
        <f>SUMIF('Таблица общая'!$B$6:$B$159,"4",'Таблица общая'!J$6:J$159)</f>
        <v>45</v>
      </c>
      <c r="G9" s="37">
        <f>SUMIF('Таблица общая'!$B$6:$B$159,"4",'Таблица общая'!K$6:K$159)</f>
        <v>0</v>
      </c>
      <c r="H9" s="37">
        <f>SUMIF('Таблица общая'!$B$6:$B$159,"4",'Таблица общая'!L$6:L$159)</f>
        <v>1</v>
      </c>
      <c r="I9" s="37">
        <f>SUMIF('Таблица общая'!$B$6:$B$159,"4",'Таблица общая'!M$6:M$159)</f>
        <v>0</v>
      </c>
      <c r="J9" s="38">
        <f t="shared" si="0"/>
        <v>3.967741935483871</v>
      </c>
      <c r="K9" s="39">
        <f t="shared" si="1"/>
        <v>0.99354838709677418</v>
      </c>
      <c r="L9" s="39">
        <f t="shared" si="2"/>
        <v>0.70322580645161292</v>
      </c>
      <c r="M9" s="39">
        <f t="shared" si="3"/>
        <v>0.65677419354838706</v>
      </c>
      <c r="N9" s="39">
        <f t="shared" si="4"/>
        <v>0.61935483870967745</v>
      </c>
    </row>
    <row r="10" spans="1:14" ht="15" customHeight="1">
      <c r="A10" s="81">
        <v>5</v>
      </c>
      <c r="B10" s="36" t="str">
        <f>Список!C10</f>
        <v>Естествознания</v>
      </c>
      <c r="C10" s="37">
        <f>SUMIF('Таблица общая'!$B$6:$B$159,"5",'Таблица общая'!G$6:G$159)</f>
        <v>236</v>
      </c>
      <c r="D10" s="37">
        <f>SUMIF('Таблица общая'!$B$6:$B$159,"5",'Таблица общая'!H$6:H$159)</f>
        <v>51</v>
      </c>
      <c r="E10" s="37">
        <f>SUMIF('Таблица общая'!$B$6:$B$159,"5",'Таблица общая'!I$6:I$159)</f>
        <v>118</v>
      </c>
      <c r="F10" s="37">
        <f>SUMIF('Таблица общая'!$B$6:$B$159,"5",'Таблица общая'!J$6:J$159)</f>
        <v>64</v>
      </c>
      <c r="G10" s="37">
        <f>SUMIF('Таблица общая'!$B$6:$B$159,"5",'Таблица общая'!K$6:K$159)</f>
        <v>2</v>
      </c>
      <c r="H10" s="37">
        <f>SUMIF('Таблица общая'!$B$6:$B$159,"5",'Таблица общая'!L$6:L$159)</f>
        <v>1</v>
      </c>
      <c r="I10" s="37">
        <f>SUMIF('Таблица общая'!$B$6:$B$159,"5",'Таблица общая'!M$6:M$159)</f>
        <v>0</v>
      </c>
      <c r="J10" s="38">
        <f t="shared" si="0"/>
        <v>3.9110169491525424</v>
      </c>
      <c r="K10" s="39">
        <f t="shared" si="1"/>
        <v>0.98728813559322037</v>
      </c>
      <c r="L10" s="39">
        <f t="shared" si="2"/>
        <v>0.71610169491525422</v>
      </c>
      <c r="M10" s="39">
        <f t="shared" si="3"/>
        <v>0.6350847457627119</v>
      </c>
      <c r="N10" s="39">
        <f t="shared" si="4"/>
        <v>0.61610169491525424</v>
      </c>
    </row>
    <row r="11" spans="1:14" ht="15" customHeight="1">
      <c r="A11" s="81">
        <v>6</v>
      </c>
      <c r="B11" s="36" t="str">
        <f>Список!C11</f>
        <v>Искусства</v>
      </c>
      <c r="C11" s="37">
        <f>SUMIF('Таблица общая'!$B$6:$B$159,"6",'Таблица общая'!G$6:G$159)</f>
        <v>299</v>
      </c>
      <c r="D11" s="37">
        <f>SUMIF('Таблица общая'!$B$6:$B$159,"6",'Таблица общая'!H$6:H$159)</f>
        <v>57</v>
      </c>
      <c r="E11" s="37">
        <f>SUMIF('Таблица общая'!$B$6:$B$159,"6",'Таблица общая'!I$6:I$159)</f>
        <v>135</v>
      </c>
      <c r="F11" s="37">
        <f>SUMIF('Таблица общая'!$B$6:$B$159,"6",'Таблица общая'!J$6:J$159)</f>
        <v>105</v>
      </c>
      <c r="G11" s="37">
        <f>SUMIF('Таблица общая'!$B$6:$B$159,"6",'Таблица общая'!K$6:K$159)</f>
        <v>1</v>
      </c>
      <c r="H11" s="37">
        <f>SUMIF('Таблица общая'!$B$6:$B$159,"6",'Таблица общая'!L$6:L$159)</f>
        <v>1</v>
      </c>
      <c r="I11" s="37">
        <f>SUMIF('Таблица общая'!$B$6:$B$159,"6",'Таблица общая'!M$6:M$159)</f>
        <v>0</v>
      </c>
      <c r="J11" s="38">
        <f t="shared" si="0"/>
        <v>3.8193979933110369</v>
      </c>
      <c r="K11" s="39">
        <f t="shared" si="1"/>
        <v>0.99331103678929766</v>
      </c>
      <c r="L11" s="39">
        <f t="shared" si="2"/>
        <v>0.64214046822742477</v>
      </c>
      <c r="M11" s="39">
        <f t="shared" si="3"/>
        <v>0.60655518394648822</v>
      </c>
      <c r="N11" s="39">
        <f t="shared" si="4"/>
        <v>0.55183946488294311</v>
      </c>
    </row>
    <row r="12" spans="1:14" ht="15" customHeight="1">
      <c r="A12" s="81">
        <v>7</v>
      </c>
      <c r="B12" s="36" t="str">
        <f>Список!C12</f>
        <v>ФЗК и ОБЖ</v>
      </c>
      <c r="C12" s="37">
        <f>SUMIF('Таблица общая'!$B$6:$B$159,"7",'Таблица общая'!G$6:G$159)</f>
        <v>0</v>
      </c>
      <c r="D12" s="37">
        <f>SUMIF('Таблица общая'!$B$6:$B$159,"7",'Таблица общая'!H$6:H$159)</f>
        <v>0</v>
      </c>
      <c r="E12" s="37">
        <f>SUMIF('Таблица общая'!$B$6:$B$159,"7",'Таблица общая'!I$6:I$159)</f>
        <v>0</v>
      </c>
      <c r="F12" s="37">
        <f>SUMIF('Таблица общая'!$B$6:$B$159,"7",'Таблица общая'!J$6:J$159)</f>
        <v>0</v>
      </c>
      <c r="G12" s="37">
        <f>SUMIF('Таблица общая'!$B$6:$B$159,"7",'Таблица общая'!K$6:K$159)</f>
        <v>0</v>
      </c>
      <c r="H12" s="37">
        <f>SUMIF('Таблица общая'!$B$6:$B$159,"7",'Таблица общая'!L$6:L$159)</f>
        <v>0</v>
      </c>
      <c r="I12" s="37">
        <f>SUMIF('Таблица общая'!$B$6:$B$159,"7",'Таблица общая'!M$6:M$159)</f>
        <v>0</v>
      </c>
      <c r="J12" s="38" t="e">
        <f t="shared" si="0"/>
        <v>#DIV/0!</v>
      </c>
      <c r="K12" s="39" t="e">
        <f t="shared" si="1"/>
        <v>#DIV/0!</v>
      </c>
      <c r="L12" s="39" t="e">
        <f t="shared" si="2"/>
        <v>#DIV/0!</v>
      </c>
      <c r="M12" s="39" t="e">
        <f t="shared" si="3"/>
        <v>#DIV/0!</v>
      </c>
      <c r="N12" s="39" t="e">
        <f t="shared" si="4"/>
        <v>#DIV/0!</v>
      </c>
    </row>
    <row r="13" spans="1:14" ht="15" customHeight="1">
      <c r="A13" s="81">
        <v>8</v>
      </c>
      <c r="B13" s="36" t="str">
        <f>Список!C13</f>
        <v>Технологии</v>
      </c>
      <c r="C13" s="37">
        <f>SUMIF('Таблица общая'!$B$6:$B$159,"8",'Таблица общая'!G$6:G$159)</f>
        <v>0</v>
      </c>
      <c r="D13" s="37">
        <f>SUMIF('Таблица общая'!$B$6:$B$159,"8",'Таблица общая'!H$6:H$159)</f>
        <v>0</v>
      </c>
      <c r="E13" s="37">
        <f>SUMIF('Таблица общая'!$B$6:$B$159,"8",'Таблица общая'!I$6:I$159)</f>
        <v>0</v>
      </c>
      <c r="F13" s="37">
        <f>SUMIF('Таблица общая'!$B$6:$B$159,"8",'Таблица общая'!J$6:J$159)</f>
        <v>0</v>
      </c>
      <c r="G13" s="37">
        <f>SUMIF('Таблица общая'!$B$6:$B$159,"8",'Таблица общая'!K$6:K$159)</f>
        <v>0</v>
      </c>
      <c r="H13" s="37">
        <f>SUMIF('Таблица общая'!$B$6:$B$159,"8",'Таблица общая'!L$6:L$159)</f>
        <v>0</v>
      </c>
      <c r="I13" s="37">
        <f>SUMIF('Таблица общая'!$B$6:$B$159,"8",'Таблица общая'!M$6:M$159)</f>
        <v>0</v>
      </c>
      <c r="J13" s="38" t="e">
        <f t="shared" si="0"/>
        <v>#DIV/0!</v>
      </c>
      <c r="K13" s="39" t="e">
        <f t="shared" si="1"/>
        <v>#DIV/0!</v>
      </c>
      <c r="L13" s="39" t="e">
        <f t="shared" si="2"/>
        <v>#DIV/0!</v>
      </c>
      <c r="M13" s="39" t="e">
        <f t="shared" si="3"/>
        <v>#DIV/0!</v>
      </c>
      <c r="N13" s="39" t="e">
        <f t="shared" si="4"/>
        <v>#DIV/0!</v>
      </c>
    </row>
    <row r="14" spans="1:14" ht="15" customHeight="1">
      <c r="A14" s="81">
        <v>9</v>
      </c>
      <c r="B14" s="36" t="str">
        <f>Список!C14</f>
        <v>Начальных классов</v>
      </c>
      <c r="C14" s="37">
        <f>SUMIF('Таблица общая'!$B$6:$B$159,"9",'Таблица общая'!G$6:G$159)</f>
        <v>1129</v>
      </c>
      <c r="D14" s="37">
        <f>SUMIF('Таблица общая'!$B$6:$B$159,"9",'Таблица общая'!H$6:H$159)</f>
        <v>438</v>
      </c>
      <c r="E14" s="37">
        <f>SUMIF('Таблица общая'!$B$6:$B$159,"9",'Таблица общая'!I$6:I$159)</f>
        <v>482</v>
      </c>
      <c r="F14" s="37">
        <f>SUMIF('Таблица общая'!$B$6:$B$159,"9",'Таблица общая'!J$6:J$159)</f>
        <v>208</v>
      </c>
      <c r="G14" s="37">
        <f>SUMIF('Таблица общая'!$B$6:$B$159,"9",'Таблица общая'!K$6:K$159)</f>
        <v>0</v>
      </c>
      <c r="H14" s="37">
        <f>SUMIF('Таблица общая'!$B$6:$B$159,"9",'Таблица общая'!L$6:L$159)</f>
        <v>1</v>
      </c>
      <c r="I14" s="37">
        <f>SUMIF('Таблица общая'!$B$6:$B$159,"9",'Таблица общая'!M$6:M$159)</f>
        <v>0</v>
      </c>
      <c r="J14" s="38">
        <f t="shared" si="0"/>
        <v>4.2001771479185122</v>
      </c>
      <c r="K14" s="39">
        <f t="shared" si="1"/>
        <v>0.99911426040744022</v>
      </c>
      <c r="L14" s="39">
        <f t="shared" si="2"/>
        <v>0.81488042515500447</v>
      </c>
      <c r="M14" s="39">
        <f t="shared" si="3"/>
        <v>0.72751107174490703</v>
      </c>
      <c r="N14" s="39">
        <f t="shared" si="4"/>
        <v>0.72949512843224096</v>
      </c>
    </row>
    <row r="15" spans="1:14" ht="15" customHeight="1">
      <c r="A15" s="260"/>
      <c r="B15" s="261"/>
      <c r="C15" s="262"/>
      <c r="D15" s="262"/>
      <c r="E15" s="262"/>
      <c r="F15" s="262"/>
      <c r="G15" s="262"/>
      <c r="H15" s="262"/>
      <c r="I15" s="262"/>
      <c r="J15" s="263"/>
      <c r="K15" s="264"/>
      <c r="L15" s="264"/>
      <c r="M15" s="264"/>
      <c r="N15" s="264"/>
    </row>
    <row r="16" spans="1:14" ht="15" customHeight="1">
      <c r="A16" s="20"/>
      <c r="B16" s="21"/>
      <c r="C16" s="8"/>
      <c r="D16" s="8"/>
      <c r="E16" s="8"/>
      <c r="F16" s="8"/>
      <c r="G16" s="8"/>
      <c r="H16" s="8"/>
      <c r="I16" s="8"/>
      <c r="J16" s="9"/>
      <c r="K16" s="19"/>
      <c r="L16" s="19"/>
      <c r="M16" s="19"/>
      <c r="N16" s="19"/>
    </row>
    <row r="17" spans="1:14" ht="15" customHeight="1">
      <c r="A17" s="20"/>
      <c r="B17" s="21"/>
      <c r="C17" s="8"/>
      <c r="D17" s="8"/>
      <c r="E17" s="8"/>
      <c r="F17" s="8"/>
      <c r="G17" s="8"/>
      <c r="H17" s="8"/>
      <c r="I17" s="8"/>
      <c r="J17" s="9"/>
      <c r="K17" s="19"/>
      <c r="L17" s="19"/>
      <c r="M17" s="19"/>
      <c r="N17" s="19"/>
    </row>
    <row r="18" spans="1:14" ht="15" customHeight="1">
      <c r="A18" s="20"/>
      <c r="B18" s="21"/>
      <c r="C18" s="8"/>
      <c r="D18" s="8"/>
      <c r="E18" s="8"/>
      <c r="F18" s="8"/>
      <c r="G18" s="8"/>
      <c r="H18" s="8"/>
      <c r="I18" s="8"/>
      <c r="J18" s="9"/>
      <c r="K18" s="19"/>
      <c r="L18" s="19"/>
      <c r="M18" s="19"/>
      <c r="N18" s="19"/>
    </row>
    <row r="19" spans="1:14" ht="15" customHeight="1">
      <c r="A19" s="20"/>
      <c r="B19" s="21"/>
      <c r="C19" s="8"/>
      <c r="D19" s="8"/>
      <c r="E19" s="8"/>
      <c r="F19" s="8"/>
      <c r="G19" s="8"/>
      <c r="H19" s="8"/>
      <c r="I19" s="8"/>
      <c r="J19" s="9"/>
      <c r="K19" s="19"/>
      <c r="L19" s="19"/>
      <c r="M19" s="19"/>
      <c r="N19" s="19"/>
    </row>
    <row r="20" spans="1:14" ht="15" customHeight="1">
      <c r="A20" s="20"/>
      <c r="B20" s="21"/>
      <c r="C20" s="8"/>
      <c r="D20" s="8"/>
      <c r="E20" s="8"/>
      <c r="F20" s="8"/>
      <c r="G20" s="8"/>
      <c r="H20" s="8"/>
      <c r="I20" s="8"/>
      <c r="J20" s="9"/>
      <c r="K20" s="19"/>
      <c r="L20" s="19"/>
      <c r="M20" s="19"/>
      <c r="N20" s="19"/>
    </row>
    <row r="21" spans="1:14">
      <c r="A21" s="20"/>
      <c r="B21" s="21"/>
      <c r="C21" s="8"/>
      <c r="D21" s="8"/>
      <c r="E21" s="8"/>
      <c r="F21" s="8"/>
      <c r="G21" s="8"/>
      <c r="H21" s="8"/>
      <c r="I21" s="8"/>
      <c r="J21" s="9"/>
      <c r="K21" s="19"/>
      <c r="L21" s="19"/>
      <c r="M21" s="19"/>
      <c r="N21" s="19"/>
    </row>
    <row r="22" spans="1:14">
      <c r="A22" s="20"/>
      <c r="B22" s="21"/>
      <c r="C22" s="8"/>
      <c r="D22" s="8"/>
      <c r="E22" s="8"/>
      <c r="F22" s="8"/>
      <c r="G22" s="8"/>
      <c r="H22" s="8"/>
      <c r="I22" s="8"/>
      <c r="J22" s="9"/>
      <c r="K22" s="19"/>
      <c r="L22" s="19"/>
      <c r="M22" s="19"/>
      <c r="N22" s="19"/>
    </row>
    <row r="23" spans="1:14">
      <c r="A23" s="20"/>
      <c r="B23" s="21"/>
      <c r="C23" s="8"/>
      <c r="D23" s="8"/>
      <c r="E23" s="8"/>
      <c r="F23" s="8"/>
      <c r="G23" s="8"/>
      <c r="H23" s="8"/>
      <c r="I23" s="8"/>
      <c r="J23" s="9"/>
      <c r="K23" s="19"/>
      <c r="L23" s="19"/>
      <c r="M23" s="19"/>
      <c r="N23" s="19"/>
    </row>
    <row r="24" spans="1:14">
      <c r="A24" s="20"/>
      <c r="B24" s="21"/>
      <c r="C24" s="8"/>
      <c r="D24" s="8"/>
      <c r="E24" s="8"/>
      <c r="F24" s="8"/>
      <c r="G24" s="8"/>
      <c r="H24" s="8"/>
      <c r="I24" s="8"/>
      <c r="J24" s="9"/>
      <c r="K24" s="19"/>
      <c r="L24" s="19"/>
      <c r="M24" s="19"/>
      <c r="N24" s="19"/>
    </row>
    <row r="25" spans="1:14">
      <c r="A25" s="20"/>
      <c r="B25" s="21"/>
      <c r="C25" s="8"/>
      <c r="D25" s="8"/>
      <c r="E25" s="8"/>
      <c r="F25" s="8"/>
      <c r="G25" s="8"/>
      <c r="H25" s="8"/>
      <c r="I25" s="8"/>
      <c r="J25" s="9"/>
      <c r="K25" s="19"/>
      <c r="L25" s="19"/>
      <c r="M25" s="19"/>
      <c r="N25" s="19"/>
    </row>
    <row r="26" spans="1:14">
      <c r="A26" s="20"/>
      <c r="B26" s="21"/>
      <c r="C26" s="8"/>
      <c r="D26" s="8"/>
      <c r="E26" s="8"/>
      <c r="F26" s="8"/>
      <c r="G26" s="8"/>
      <c r="H26" s="8"/>
      <c r="I26" s="8"/>
      <c r="J26" s="9"/>
      <c r="K26" s="19"/>
      <c r="L26" s="19"/>
      <c r="M26" s="19"/>
      <c r="N26" s="19"/>
    </row>
    <row r="27" spans="1:14">
      <c r="A27" s="20"/>
      <c r="B27" s="21"/>
      <c r="C27" s="8"/>
      <c r="D27" s="8"/>
      <c r="E27" s="8"/>
      <c r="F27" s="8"/>
      <c r="G27" s="8"/>
      <c r="H27" s="8"/>
      <c r="I27" s="8"/>
      <c r="J27" s="9"/>
      <c r="K27" s="19"/>
      <c r="L27" s="19"/>
      <c r="M27" s="19"/>
      <c r="N27" s="19"/>
    </row>
    <row r="28" spans="1:14">
      <c r="A28" s="20"/>
      <c r="B28" s="21"/>
      <c r="C28" s="8"/>
      <c r="D28" s="8"/>
      <c r="E28" s="8"/>
      <c r="F28" s="8"/>
      <c r="G28" s="8"/>
      <c r="H28" s="8"/>
      <c r="I28" s="8"/>
      <c r="J28" s="9"/>
      <c r="K28" s="19"/>
      <c r="L28" s="19"/>
      <c r="M28" s="19"/>
      <c r="N28" s="19"/>
    </row>
    <row r="29" spans="1:14">
      <c r="A29" s="20"/>
      <c r="B29" s="21"/>
      <c r="C29" s="8"/>
      <c r="D29" s="8"/>
      <c r="E29" s="8"/>
      <c r="F29" s="8"/>
      <c r="G29" s="8"/>
      <c r="H29" s="8"/>
      <c r="I29" s="8"/>
      <c r="J29" s="9"/>
      <c r="K29" s="19"/>
      <c r="L29" s="19"/>
      <c r="M29" s="19"/>
      <c r="N29" s="19"/>
    </row>
    <row r="30" spans="1:14">
      <c r="A30" s="20"/>
      <c r="B30" s="21"/>
      <c r="C30" s="8"/>
      <c r="D30" s="8"/>
      <c r="E30" s="8"/>
      <c r="F30" s="8"/>
      <c r="G30" s="8"/>
      <c r="H30" s="8"/>
      <c r="I30" s="8"/>
      <c r="J30" s="9"/>
      <c r="K30" s="19"/>
      <c r="L30" s="19"/>
      <c r="M30" s="19"/>
      <c r="N30" s="19"/>
    </row>
    <row r="31" spans="1:14">
      <c r="A31" s="20"/>
      <c r="B31" s="21"/>
      <c r="C31" s="8"/>
      <c r="D31" s="8"/>
      <c r="E31" s="8"/>
      <c r="F31" s="8"/>
      <c r="G31" s="8"/>
      <c r="H31" s="8"/>
      <c r="I31" s="8"/>
      <c r="J31" s="9"/>
      <c r="K31" s="19"/>
      <c r="L31" s="19"/>
      <c r="M31" s="19"/>
      <c r="N31" s="19"/>
    </row>
    <row r="32" spans="1:14">
      <c r="A32" s="20"/>
      <c r="B32" s="21"/>
      <c r="C32" s="8"/>
      <c r="D32" s="8"/>
      <c r="E32" s="8"/>
      <c r="F32" s="8"/>
      <c r="G32" s="8"/>
      <c r="H32" s="8"/>
      <c r="I32" s="8"/>
      <c r="J32" s="9"/>
      <c r="K32" s="19"/>
      <c r="L32" s="19"/>
      <c r="M32" s="19"/>
      <c r="N32" s="19"/>
    </row>
    <row r="33" spans="1:14">
      <c r="A33" s="20"/>
      <c r="B33" s="21"/>
      <c r="C33" s="8"/>
      <c r="D33" s="8"/>
      <c r="E33" s="8"/>
      <c r="F33" s="8"/>
      <c r="G33" s="8"/>
      <c r="H33" s="8"/>
      <c r="I33" s="8"/>
      <c r="J33" s="9"/>
      <c r="K33" s="19"/>
      <c r="L33" s="19"/>
      <c r="M33" s="19"/>
      <c r="N33" s="19"/>
    </row>
    <row r="34" spans="1:14">
      <c r="A34" s="20"/>
      <c r="B34" s="21"/>
      <c r="C34" s="8"/>
      <c r="D34" s="8"/>
      <c r="E34" s="8"/>
      <c r="F34" s="8"/>
      <c r="G34" s="8"/>
      <c r="H34" s="8"/>
      <c r="I34" s="8"/>
      <c r="J34" s="9"/>
      <c r="K34" s="19"/>
      <c r="L34" s="19"/>
      <c r="M34" s="19"/>
      <c r="N34" s="19"/>
    </row>
    <row r="35" spans="1:14">
      <c r="A35" s="20"/>
      <c r="B35" s="21"/>
      <c r="C35" s="8"/>
      <c r="D35" s="8"/>
      <c r="E35" s="8"/>
      <c r="F35" s="8"/>
      <c r="G35" s="8"/>
      <c r="H35" s="8"/>
      <c r="I35" s="8"/>
      <c r="J35" s="9"/>
      <c r="K35" s="19"/>
      <c r="L35" s="19"/>
      <c r="M35" s="19"/>
      <c r="N35" s="19"/>
    </row>
    <row r="36" spans="1:14">
      <c r="A36" s="20"/>
      <c r="B36" s="21"/>
      <c r="C36" s="8"/>
      <c r="D36" s="8"/>
      <c r="E36" s="8"/>
      <c r="F36" s="8"/>
      <c r="G36" s="8"/>
      <c r="H36" s="8"/>
      <c r="I36" s="8"/>
      <c r="J36" s="9"/>
      <c r="K36" s="19"/>
      <c r="L36" s="19"/>
      <c r="M36" s="19"/>
      <c r="N36" s="19"/>
    </row>
    <row r="37" spans="1:14">
      <c r="A37" s="20"/>
      <c r="B37" s="21"/>
      <c r="C37" s="8"/>
      <c r="D37" s="8"/>
      <c r="E37" s="8"/>
      <c r="F37" s="8"/>
      <c r="G37" s="8"/>
      <c r="H37" s="8"/>
      <c r="I37" s="8"/>
      <c r="J37" s="9"/>
      <c r="K37" s="19"/>
      <c r="L37" s="19"/>
      <c r="M37" s="19"/>
      <c r="N37" s="19"/>
    </row>
    <row r="38" spans="1:14">
      <c r="A38" s="20"/>
      <c r="B38" s="21"/>
      <c r="C38" s="8"/>
      <c r="D38" s="8"/>
      <c r="E38" s="8"/>
      <c r="F38" s="8"/>
      <c r="G38" s="8"/>
      <c r="H38" s="8"/>
      <c r="I38" s="8"/>
      <c r="J38" s="9"/>
      <c r="K38" s="19"/>
      <c r="L38" s="19"/>
      <c r="M38" s="19"/>
      <c r="N38" s="19"/>
    </row>
    <row r="39" spans="1:14">
      <c r="A39" s="20"/>
      <c r="B39" s="21"/>
      <c r="C39" s="8"/>
      <c r="D39" s="8"/>
      <c r="E39" s="8"/>
      <c r="F39" s="8"/>
      <c r="G39" s="8"/>
      <c r="H39" s="8"/>
      <c r="I39" s="8"/>
      <c r="J39" s="9"/>
      <c r="K39" s="19"/>
      <c r="L39" s="19"/>
      <c r="M39" s="19"/>
      <c r="N39" s="19"/>
    </row>
    <row r="40" spans="1:14">
      <c r="A40" s="20"/>
      <c r="B40" s="21"/>
      <c r="C40" s="8"/>
      <c r="D40" s="8"/>
      <c r="E40" s="8"/>
      <c r="F40" s="8"/>
      <c r="G40" s="8"/>
      <c r="H40" s="8"/>
      <c r="I40" s="8"/>
      <c r="J40" s="9"/>
      <c r="K40" s="19"/>
      <c r="L40" s="19"/>
      <c r="M40" s="19"/>
      <c r="N40" s="19"/>
    </row>
    <row r="41" spans="1:14">
      <c r="A41" s="20"/>
      <c r="B41" s="21"/>
      <c r="C41" s="8"/>
      <c r="D41" s="8"/>
      <c r="E41" s="8"/>
      <c r="F41" s="8"/>
      <c r="G41" s="8"/>
      <c r="H41" s="8"/>
      <c r="I41" s="8"/>
      <c r="J41" s="9"/>
      <c r="K41" s="19"/>
      <c r="L41" s="19"/>
      <c r="M41" s="19"/>
      <c r="N41" s="19"/>
    </row>
    <row r="42" spans="1:14">
      <c r="A42" s="20"/>
      <c r="B42" s="21"/>
      <c r="C42" s="8"/>
      <c r="D42" s="8"/>
      <c r="E42" s="8"/>
      <c r="F42" s="8"/>
      <c r="G42" s="8"/>
      <c r="H42" s="8"/>
      <c r="I42" s="8"/>
      <c r="J42" s="9"/>
      <c r="K42" s="19"/>
      <c r="L42" s="19"/>
      <c r="M42" s="19"/>
      <c r="N42" s="19"/>
    </row>
    <row r="43" spans="1:14">
      <c r="A43" s="20"/>
      <c r="B43" s="21"/>
      <c r="C43" s="8"/>
      <c r="D43" s="8"/>
      <c r="E43" s="8"/>
      <c r="F43" s="8"/>
      <c r="G43" s="8"/>
      <c r="H43" s="8"/>
      <c r="I43" s="8"/>
      <c r="J43" s="9"/>
      <c r="K43" s="19"/>
      <c r="L43" s="19"/>
      <c r="M43" s="19"/>
      <c r="N43" s="19"/>
    </row>
    <row r="44" spans="1:14">
      <c r="A44" s="20"/>
      <c r="B44" s="21"/>
      <c r="C44" s="8"/>
      <c r="D44" s="8"/>
      <c r="E44" s="8"/>
      <c r="F44" s="8"/>
      <c r="G44" s="8"/>
      <c r="H44" s="8"/>
      <c r="I44" s="8"/>
      <c r="J44" s="9"/>
      <c r="K44" s="19"/>
      <c r="L44" s="19"/>
      <c r="M44" s="19"/>
      <c r="N44" s="19"/>
    </row>
    <row r="45" spans="1:14">
      <c r="A45" s="20"/>
      <c r="B45" s="21"/>
      <c r="C45" s="8"/>
      <c r="D45" s="8"/>
      <c r="E45" s="8"/>
      <c r="F45" s="8"/>
      <c r="G45" s="8"/>
      <c r="H45" s="8"/>
      <c r="I45" s="8"/>
      <c r="J45" s="9"/>
      <c r="K45" s="19"/>
      <c r="L45" s="19"/>
      <c r="M45" s="19"/>
      <c r="N45" s="19"/>
    </row>
    <row r="46" spans="1:14">
      <c r="A46" s="20"/>
      <c r="B46" s="21"/>
      <c r="C46" s="8"/>
      <c r="D46" s="8"/>
      <c r="E46" s="8"/>
      <c r="F46" s="8"/>
      <c r="G46" s="8"/>
      <c r="H46" s="8"/>
      <c r="I46" s="8"/>
      <c r="J46" s="9"/>
      <c r="K46" s="19"/>
      <c r="L46" s="19"/>
      <c r="M46" s="19"/>
      <c r="N46" s="19"/>
    </row>
    <row r="47" spans="1:14">
      <c r="A47" s="20"/>
      <c r="B47" s="21"/>
      <c r="C47" s="8"/>
      <c r="D47" s="8"/>
      <c r="E47" s="8"/>
      <c r="F47" s="8"/>
      <c r="G47" s="8"/>
      <c r="H47" s="8"/>
      <c r="I47" s="8"/>
      <c r="J47" s="9"/>
      <c r="K47" s="19"/>
      <c r="L47" s="19"/>
      <c r="M47" s="19"/>
      <c r="N47" s="19"/>
    </row>
    <row r="48" spans="1:14">
      <c r="A48" s="20"/>
      <c r="B48" s="21"/>
      <c r="C48" s="8"/>
      <c r="D48" s="8"/>
      <c r="E48" s="8"/>
      <c r="F48" s="8"/>
      <c r="G48" s="8"/>
      <c r="H48" s="8"/>
      <c r="I48" s="8"/>
      <c r="J48" s="9"/>
      <c r="K48" s="19"/>
      <c r="L48" s="19"/>
      <c r="M48" s="19"/>
      <c r="N48" s="19"/>
    </row>
    <row r="49" spans="1:14">
      <c r="A49" s="20"/>
      <c r="B49" s="21"/>
      <c r="C49" s="8"/>
      <c r="D49" s="8"/>
      <c r="E49" s="8"/>
      <c r="F49" s="8"/>
      <c r="G49" s="8"/>
      <c r="H49" s="8"/>
      <c r="I49" s="8"/>
      <c r="J49" s="9"/>
      <c r="K49" s="19"/>
      <c r="L49" s="19"/>
      <c r="M49" s="19"/>
      <c r="N49" s="19"/>
    </row>
    <row r="50" spans="1:14">
      <c r="A50" s="20"/>
      <c r="B50" s="21"/>
      <c r="C50" s="8"/>
      <c r="D50" s="8"/>
      <c r="E50" s="8"/>
      <c r="F50" s="8"/>
      <c r="G50" s="8"/>
      <c r="H50" s="8"/>
      <c r="I50" s="8"/>
      <c r="J50" s="9"/>
      <c r="K50" s="19"/>
      <c r="L50" s="19"/>
      <c r="M50" s="19"/>
      <c r="N50" s="19"/>
    </row>
    <row r="51" spans="1:14">
      <c r="A51" s="20"/>
      <c r="B51" s="21"/>
      <c r="C51" s="8"/>
      <c r="D51" s="8"/>
      <c r="E51" s="8"/>
      <c r="F51" s="8"/>
      <c r="G51" s="8"/>
      <c r="H51" s="8"/>
      <c r="I51" s="8"/>
      <c r="J51" s="9"/>
      <c r="K51" s="19"/>
      <c r="L51" s="19"/>
      <c r="M51" s="19"/>
      <c r="N51" s="19"/>
    </row>
    <row r="52" spans="1:14">
      <c r="A52" s="20"/>
      <c r="B52" s="21"/>
      <c r="C52" s="8"/>
      <c r="D52" s="8"/>
      <c r="E52" s="8"/>
      <c r="F52" s="8"/>
      <c r="G52" s="8"/>
      <c r="H52" s="8"/>
      <c r="I52" s="8"/>
      <c r="J52" s="9"/>
      <c r="K52" s="19"/>
      <c r="L52" s="19"/>
      <c r="M52" s="19"/>
      <c r="N52" s="19"/>
    </row>
    <row r="53" spans="1:14">
      <c r="A53" s="20"/>
      <c r="B53" s="21"/>
      <c r="C53" s="8"/>
      <c r="D53" s="8"/>
      <c r="E53" s="8"/>
      <c r="F53" s="8"/>
      <c r="G53" s="8"/>
      <c r="H53" s="8"/>
      <c r="I53" s="8"/>
      <c r="J53" s="9"/>
      <c r="K53" s="19"/>
      <c r="L53" s="19"/>
      <c r="M53" s="19"/>
      <c r="N53" s="19"/>
    </row>
    <row r="54" spans="1:14">
      <c r="A54" s="20"/>
      <c r="B54" s="21"/>
      <c r="C54" s="8"/>
      <c r="D54" s="8"/>
      <c r="E54" s="8"/>
      <c r="F54" s="8"/>
      <c r="G54" s="8"/>
      <c r="H54" s="8"/>
      <c r="I54" s="8"/>
      <c r="J54" s="9"/>
      <c r="K54" s="19"/>
      <c r="L54" s="19"/>
      <c r="M54" s="19"/>
      <c r="N54" s="19"/>
    </row>
    <row r="55" spans="1:14">
      <c r="A55" s="20"/>
      <c r="B55" s="21"/>
      <c r="C55" s="8"/>
      <c r="D55" s="8"/>
      <c r="E55" s="8"/>
      <c r="F55" s="8"/>
      <c r="G55" s="8"/>
      <c r="H55" s="8"/>
      <c r="I55" s="8"/>
      <c r="J55" s="9"/>
      <c r="K55" s="19"/>
      <c r="L55" s="19"/>
      <c r="M55" s="19"/>
      <c r="N55" s="19"/>
    </row>
    <row r="56" spans="1:14">
      <c r="A56" s="20"/>
      <c r="B56" s="21"/>
      <c r="C56" s="8"/>
      <c r="D56" s="8"/>
      <c r="E56" s="8"/>
      <c r="F56" s="8"/>
      <c r="G56" s="8"/>
      <c r="H56" s="8"/>
      <c r="I56" s="8"/>
      <c r="J56" s="9"/>
      <c r="K56" s="19"/>
      <c r="L56" s="19"/>
      <c r="M56" s="19"/>
      <c r="N56" s="19"/>
    </row>
    <row r="57" spans="1:14">
      <c r="A57" s="20"/>
      <c r="B57" s="21"/>
      <c r="C57" s="8"/>
      <c r="D57" s="8"/>
      <c r="E57" s="8"/>
      <c r="F57" s="8"/>
      <c r="G57" s="8"/>
      <c r="H57" s="8"/>
      <c r="I57" s="8"/>
      <c r="J57" s="9"/>
      <c r="K57" s="19"/>
      <c r="L57" s="19"/>
      <c r="M57" s="19"/>
      <c r="N57" s="19"/>
    </row>
    <row r="58" spans="1:14">
      <c r="A58" s="20"/>
      <c r="B58" s="21"/>
      <c r="C58" s="8"/>
      <c r="D58" s="8"/>
      <c r="E58" s="8"/>
      <c r="F58" s="8"/>
      <c r="G58" s="8"/>
      <c r="H58" s="8"/>
      <c r="I58" s="8"/>
      <c r="J58" s="9"/>
      <c r="K58" s="19"/>
      <c r="L58" s="19"/>
      <c r="M58" s="19"/>
      <c r="N58" s="19"/>
    </row>
    <row r="59" spans="1:14">
      <c r="A59" s="20"/>
      <c r="B59" s="21"/>
      <c r="C59" s="8"/>
      <c r="D59" s="8"/>
      <c r="E59" s="8"/>
      <c r="F59" s="8"/>
      <c r="G59" s="8"/>
      <c r="H59" s="8"/>
      <c r="I59" s="8"/>
      <c r="J59" s="9"/>
      <c r="K59" s="19"/>
      <c r="L59" s="19"/>
      <c r="M59" s="19"/>
      <c r="N59" s="19"/>
    </row>
    <row r="60" spans="1:14">
      <c r="A60" s="20"/>
      <c r="B60" s="21"/>
      <c r="C60" s="8"/>
      <c r="D60" s="8"/>
      <c r="E60" s="8"/>
      <c r="F60" s="8"/>
      <c r="G60" s="8"/>
      <c r="H60" s="8"/>
      <c r="I60" s="8"/>
      <c r="J60" s="9"/>
      <c r="K60" s="19"/>
      <c r="L60" s="19"/>
      <c r="M60" s="19"/>
      <c r="N60" s="19"/>
    </row>
    <row r="61" spans="1:14">
      <c r="A61" s="20"/>
      <c r="B61" s="21"/>
      <c r="C61" s="8"/>
      <c r="D61" s="8"/>
      <c r="E61" s="8"/>
      <c r="F61" s="8"/>
      <c r="G61" s="8"/>
      <c r="H61" s="8"/>
      <c r="I61" s="8"/>
      <c r="J61" s="9"/>
      <c r="K61" s="19"/>
      <c r="L61" s="19"/>
      <c r="M61" s="19"/>
      <c r="N61" s="19"/>
    </row>
    <row r="62" spans="1:14">
      <c r="A62" s="20"/>
      <c r="B62" s="21"/>
      <c r="C62" s="8"/>
      <c r="D62" s="8"/>
      <c r="E62" s="8"/>
      <c r="F62" s="8"/>
      <c r="G62" s="8"/>
      <c r="H62" s="8"/>
      <c r="I62" s="8"/>
      <c r="J62" s="9"/>
      <c r="K62" s="19"/>
      <c r="L62" s="19"/>
      <c r="M62" s="19"/>
      <c r="N62" s="19"/>
    </row>
    <row r="63" spans="1:14">
      <c r="A63" s="20"/>
      <c r="B63" s="21"/>
      <c r="C63" s="8"/>
      <c r="D63" s="8"/>
      <c r="E63" s="8"/>
      <c r="F63" s="8"/>
      <c r="G63" s="8"/>
      <c r="H63" s="8"/>
      <c r="I63" s="8"/>
      <c r="J63" s="9"/>
      <c r="K63" s="19"/>
      <c r="L63" s="19"/>
      <c r="M63" s="19"/>
      <c r="N63" s="19"/>
    </row>
    <row r="64" spans="1:14">
      <c r="A64" s="20"/>
      <c r="B64" s="21"/>
      <c r="C64" s="8"/>
      <c r="D64" s="8"/>
      <c r="E64" s="8"/>
      <c r="F64" s="8"/>
      <c r="G64" s="8"/>
      <c r="H64" s="8"/>
      <c r="I64" s="8"/>
      <c r="J64" s="9"/>
      <c r="K64" s="19"/>
      <c r="L64" s="19"/>
      <c r="M64" s="19"/>
      <c r="N64" s="19"/>
    </row>
    <row r="65" spans="1:14">
      <c r="A65" s="20"/>
      <c r="B65" s="21"/>
      <c r="C65" s="8"/>
      <c r="D65" s="8"/>
      <c r="E65" s="8"/>
      <c r="F65" s="8"/>
      <c r="G65" s="8"/>
      <c r="H65" s="8"/>
      <c r="I65" s="8"/>
      <c r="J65" s="9"/>
      <c r="K65" s="19"/>
      <c r="L65" s="19"/>
      <c r="M65" s="19"/>
      <c r="N65" s="19"/>
    </row>
    <row r="66" spans="1:14">
      <c r="A66" s="20"/>
      <c r="B66" s="21"/>
      <c r="C66" s="8"/>
      <c r="D66" s="8"/>
      <c r="E66" s="8"/>
      <c r="F66" s="8"/>
      <c r="G66" s="8"/>
      <c r="H66" s="8"/>
      <c r="I66" s="8"/>
      <c r="J66" s="9"/>
      <c r="K66" s="19"/>
      <c r="L66" s="19"/>
      <c r="M66" s="19"/>
      <c r="N66" s="19"/>
    </row>
    <row r="67" spans="1:14">
      <c r="A67" s="20"/>
      <c r="B67" s="21"/>
      <c r="C67" s="8"/>
      <c r="D67" s="8"/>
      <c r="E67" s="8"/>
      <c r="F67" s="8"/>
      <c r="G67" s="8"/>
      <c r="H67" s="8"/>
      <c r="I67" s="8"/>
      <c r="J67" s="9"/>
      <c r="K67" s="19"/>
      <c r="L67" s="19"/>
      <c r="M67" s="19"/>
      <c r="N67" s="19"/>
    </row>
    <row r="68" spans="1:14">
      <c r="A68" s="20"/>
      <c r="B68" s="21"/>
      <c r="C68" s="8"/>
      <c r="D68" s="8"/>
      <c r="E68" s="8"/>
      <c r="F68" s="8"/>
      <c r="G68" s="8"/>
      <c r="H68" s="8"/>
      <c r="I68" s="8"/>
      <c r="J68" s="9"/>
      <c r="K68" s="19"/>
      <c r="L68" s="19"/>
      <c r="M68" s="19"/>
      <c r="N68" s="19"/>
    </row>
    <row r="69" spans="1:14">
      <c r="A69" s="20"/>
      <c r="B69" s="21"/>
      <c r="C69" s="8"/>
      <c r="D69" s="8"/>
      <c r="E69" s="8"/>
      <c r="F69" s="8"/>
      <c r="G69" s="8"/>
      <c r="H69" s="8"/>
      <c r="I69" s="8"/>
      <c r="J69" s="9"/>
      <c r="K69" s="19"/>
      <c r="L69" s="19"/>
      <c r="M69" s="19"/>
      <c r="N69" s="19"/>
    </row>
    <row r="70" spans="1:14">
      <c r="A70" s="20"/>
      <c r="B70" s="21"/>
      <c r="C70" s="8"/>
      <c r="D70" s="8"/>
      <c r="E70" s="8"/>
      <c r="F70" s="8"/>
      <c r="G70" s="8"/>
      <c r="H70" s="8"/>
      <c r="I70" s="8"/>
      <c r="J70" s="9"/>
      <c r="K70" s="19"/>
      <c r="L70" s="19"/>
      <c r="M70" s="19"/>
      <c r="N70" s="19"/>
    </row>
    <row r="71" spans="1:14">
      <c r="A71" s="20"/>
      <c r="B71" s="21"/>
      <c r="C71" s="8"/>
      <c r="D71" s="8"/>
      <c r="E71" s="8"/>
      <c r="F71" s="8"/>
      <c r="G71" s="8"/>
      <c r="H71" s="8"/>
      <c r="I71" s="8"/>
      <c r="J71" s="9"/>
      <c r="K71" s="19"/>
      <c r="L71" s="19"/>
      <c r="M71" s="19"/>
      <c r="N71" s="19"/>
    </row>
    <row r="72" spans="1:14">
      <c r="A72" s="20"/>
      <c r="B72" s="21"/>
      <c r="C72" s="8"/>
      <c r="D72" s="8"/>
      <c r="E72" s="8"/>
      <c r="F72" s="8"/>
      <c r="G72" s="8"/>
      <c r="H72" s="8"/>
      <c r="I72" s="8"/>
      <c r="J72" s="9"/>
      <c r="K72" s="19"/>
      <c r="L72" s="19"/>
      <c r="M72" s="19"/>
      <c r="N72" s="19"/>
    </row>
    <row r="73" spans="1:14">
      <c r="A73" s="20"/>
      <c r="B73" s="21"/>
      <c r="C73" s="8"/>
      <c r="D73" s="8"/>
      <c r="E73" s="8"/>
      <c r="F73" s="8"/>
      <c r="G73" s="8"/>
      <c r="H73" s="8"/>
      <c r="I73" s="8"/>
      <c r="J73" s="9"/>
      <c r="K73" s="19"/>
      <c r="L73" s="19"/>
      <c r="M73" s="19"/>
      <c r="N73" s="19"/>
    </row>
    <row r="74" spans="1:14">
      <c r="A74" s="20"/>
      <c r="B74" s="21"/>
      <c r="C74" s="8"/>
      <c r="D74" s="8"/>
      <c r="E74" s="8"/>
      <c r="F74" s="8"/>
      <c r="G74" s="8"/>
      <c r="H74" s="8"/>
      <c r="I74" s="8"/>
      <c r="J74" s="9"/>
      <c r="K74" s="19"/>
      <c r="L74" s="19"/>
      <c r="M74" s="19"/>
      <c r="N74" s="19"/>
    </row>
    <row r="75" spans="1:14">
      <c r="A75" s="20"/>
      <c r="B75" s="21"/>
      <c r="C75" s="8"/>
      <c r="D75" s="8"/>
      <c r="E75" s="8"/>
      <c r="F75" s="8"/>
      <c r="G75" s="8"/>
      <c r="H75" s="8"/>
      <c r="I75" s="8"/>
      <c r="J75" s="9"/>
      <c r="K75" s="19"/>
      <c r="L75" s="19"/>
      <c r="M75" s="19"/>
      <c r="N75" s="19"/>
    </row>
    <row r="76" spans="1:14">
      <c r="A76" s="20"/>
      <c r="B76" s="21"/>
      <c r="C76" s="8"/>
      <c r="D76" s="8"/>
      <c r="E76" s="8"/>
      <c r="F76" s="8"/>
      <c r="G76" s="8"/>
      <c r="H76" s="8"/>
      <c r="I76" s="8"/>
      <c r="J76" s="9"/>
      <c r="K76" s="19"/>
      <c r="L76" s="19"/>
      <c r="M76" s="19"/>
      <c r="N76" s="19"/>
    </row>
    <row r="77" spans="1:14">
      <c r="A77" s="20"/>
      <c r="B77" s="21"/>
      <c r="C77" s="8"/>
      <c r="D77" s="8"/>
      <c r="E77" s="8"/>
      <c r="F77" s="8"/>
      <c r="G77" s="8"/>
      <c r="H77" s="8"/>
      <c r="I77" s="8"/>
      <c r="J77" s="9"/>
      <c r="K77" s="19"/>
      <c r="L77" s="19"/>
      <c r="M77" s="19"/>
      <c r="N77" s="19"/>
    </row>
    <row r="78" spans="1:14">
      <c r="A78" s="20"/>
      <c r="B78" s="21"/>
      <c r="C78" s="8"/>
      <c r="D78" s="8"/>
      <c r="E78" s="8"/>
      <c r="F78" s="8"/>
      <c r="G78" s="8"/>
      <c r="H78" s="8"/>
      <c r="I78" s="8"/>
      <c r="J78" s="9"/>
      <c r="K78" s="19"/>
      <c r="L78" s="19"/>
      <c r="M78" s="19"/>
      <c r="N78" s="19"/>
    </row>
    <row r="79" spans="1:14">
      <c r="A79" s="20"/>
      <c r="B79" s="21"/>
      <c r="C79" s="8"/>
      <c r="D79" s="8"/>
      <c r="E79" s="8"/>
      <c r="F79" s="8"/>
      <c r="G79" s="8"/>
      <c r="H79" s="8"/>
      <c r="I79" s="8"/>
      <c r="J79" s="9"/>
      <c r="K79" s="19"/>
      <c r="L79" s="19"/>
      <c r="M79" s="19"/>
      <c r="N79" s="19"/>
    </row>
    <row r="80" spans="1:14">
      <c r="A80" s="20"/>
      <c r="B80" s="21"/>
      <c r="C80" s="8"/>
      <c r="D80" s="8"/>
      <c r="E80" s="8"/>
      <c r="F80" s="8"/>
      <c r="G80" s="8"/>
      <c r="H80" s="8"/>
      <c r="I80" s="8"/>
      <c r="J80" s="9"/>
      <c r="K80" s="19"/>
      <c r="L80" s="19"/>
      <c r="M80" s="19"/>
      <c r="N80" s="19"/>
    </row>
    <row r="81" spans="1:14">
      <c r="A81" s="20"/>
      <c r="B81" s="21"/>
      <c r="C81" s="8"/>
      <c r="D81" s="8"/>
      <c r="E81" s="8"/>
      <c r="F81" s="8"/>
      <c r="G81" s="8"/>
      <c r="H81" s="8"/>
      <c r="I81" s="8"/>
      <c r="J81" s="9"/>
      <c r="K81" s="19"/>
      <c r="L81" s="19"/>
      <c r="M81" s="19"/>
      <c r="N81" s="19"/>
    </row>
    <row r="82" spans="1:14">
      <c r="A82" s="20"/>
      <c r="B82" s="21"/>
      <c r="C82" s="8"/>
      <c r="D82" s="8"/>
      <c r="E82" s="8"/>
      <c r="F82" s="8"/>
      <c r="G82" s="8"/>
      <c r="H82" s="8"/>
      <c r="I82" s="8"/>
      <c r="J82" s="9"/>
      <c r="K82" s="19"/>
      <c r="L82" s="19"/>
      <c r="M82" s="19"/>
      <c r="N82" s="19"/>
    </row>
    <row r="83" spans="1:14">
      <c r="A83" s="20"/>
      <c r="B83" s="21"/>
      <c r="C83" s="8"/>
      <c r="D83" s="8"/>
      <c r="E83" s="8"/>
      <c r="F83" s="8"/>
      <c r="G83" s="8"/>
      <c r="H83" s="8"/>
      <c r="I83" s="8"/>
      <c r="J83" s="9"/>
      <c r="K83" s="19"/>
      <c r="L83" s="19"/>
      <c r="M83" s="19"/>
      <c r="N83" s="19"/>
    </row>
    <row r="84" spans="1:14">
      <c r="A84" s="20"/>
      <c r="B84" s="21"/>
      <c r="C84" s="8"/>
      <c r="D84" s="8"/>
      <c r="E84" s="8"/>
      <c r="F84" s="8"/>
      <c r="G84" s="8"/>
      <c r="H84" s="8"/>
      <c r="I84" s="8"/>
      <c r="J84" s="9"/>
      <c r="K84" s="19"/>
      <c r="L84" s="19"/>
      <c r="M84" s="19"/>
      <c r="N84" s="19"/>
    </row>
    <row r="85" spans="1:14">
      <c r="A85" s="20"/>
      <c r="B85" s="21"/>
      <c r="C85" s="8"/>
      <c r="D85" s="8"/>
      <c r="E85" s="8"/>
      <c r="F85" s="8"/>
      <c r="G85" s="8"/>
      <c r="H85" s="8"/>
      <c r="I85" s="8"/>
      <c r="J85" s="9"/>
      <c r="K85" s="19"/>
      <c r="L85" s="19"/>
      <c r="M85" s="19"/>
      <c r="N85" s="19"/>
    </row>
    <row r="86" spans="1:14">
      <c r="A86" s="20"/>
      <c r="B86" s="21"/>
      <c r="C86" s="8"/>
      <c r="D86" s="8"/>
      <c r="E86" s="8"/>
      <c r="F86" s="8"/>
      <c r="G86" s="8"/>
      <c r="H86" s="8"/>
      <c r="I86" s="8"/>
      <c r="J86" s="9"/>
      <c r="K86" s="19"/>
      <c r="L86" s="19"/>
      <c r="M86" s="19"/>
      <c r="N86" s="19"/>
    </row>
    <row r="87" spans="1:14">
      <c r="A87" s="20"/>
      <c r="B87" s="21"/>
      <c r="C87" s="8"/>
      <c r="D87" s="8"/>
      <c r="E87" s="8"/>
      <c r="F87" s="8"/>
      <c r="G87" s="8"/>
      <c r="H87" s="8"/>
      <c r="I87" s="8"/>
      <c r="J87" s="9"/>
      <c r="K87" s="19"/>
      <c r="L87" s="19"/>
      <c r="M87" s="19"/>
      <c r="N87" s="19"/>
    </row>
    <row r="88" spans="1:14">
      <c r="A88" s="20"/>
      <c r="B88" s="21"/>
      <c r="C88" s="8"/>
      <c r="D88" s="8"/>
      <c r="E88" s="8"/>
      <c r="F88" s="8"/>
      <c r="G88" s="8"/>
      <c r="H88" s="8"/>
      <c r="I88" s="8"/>
      <c r="J88" s="9"/>
      <c r="K88" s="19"/>
      <c r="L88" s="19"/>
      <c r="M88" s="19"/>
      <c r="N88" s="19"/>
    </row>
    <row r="89" spans="1:14">
      <c r="A89" s="20"/>
      <c r="B89" s="21"/>
      <c r="C89" s="8"/>
      <c r="D89" s="8"/>
      <c r="E89" s="8"/>
      <c r="F89" s="8"/>
      <c r="G89" s="8"/>
      <c r="H89" s="8"/>
      <c r="I89" s="8"/>
      <c r="J89" s="9"/>
      <c r="K89" s="19"/>
      <c r="L89" s="19"/>
      <c r="M89" s="19"/>
      <c r="N89" s="19"/>
    </row>
    <row r="90" spans="1:14">
      <c r="A90" s="20"/>
      <c r="B90" s="21"/>
      <c r="C90" s="8"/>
      <c r="D90" s="8"/>
      <c r="E90" s="8"/>
      <c r="F90" s="8"/>
      <c r="G90" s="8"/>
      <c r="H90" s="8"/>
      <c r="I90" s="8"/>
      <c r="J90" s="9"/>
      <c r="K90" s="19"/>
      <c r="L90" s="19"/>
      <c r="M90" s="19"/>
      <c r="N90" s="19"/>
    </row>
    <row r="91" spans="1:14">
      <c r="A91" s="20"/>
      <c r="B91" s="21"/>
      <c r="C91" s="8"/>
      <c r="D91" s="8"/>
      <c r="E91" s="8"/>
      <c r="F91" s="8"/>
      <c r="G91" s="8"/>
      <c r="H91" s="8"/>
      <c r="I91" s="8"/>
      <c r="J91" s="9"/>
      <c r="K91" s="19"/>
      <c r="L91" s="19"/>
      <c r="M91" s="19"/>
      <c r="N91" s="19"/>
    </row>
    <row r="92" spans="1:14">
      <c r="A92" s="20"/>
      <c r="B92" s="21"/>
      <c r="C92" s="8"/>
      <c r="D92" s="8"/>
      <c r="E92" s="8"/>
      <c r="F92" s="8"/>
      <c r="G92" s="8"/>
      <c r="H92" s="8"/>
      <c r="I92" s="8"/>
      <c r="J92" s="9"/>
      <c r="K92" s="19"/>
      <c r="L92" s="19"/>
      <c r="M92" s="19"/>
      <c r="N92" s="19"/>
    </row>
    <row r="93" spans="1:14">
      <c r="A93" s="20"/>
      <c r="B93" s="21"/>
      <c r="C93" s="8"/>
      <c r="D93" s="8"/>
      <c r="E93" s="8"/>
      <c r="F93" s="8"/>
      <c r="G93" s="8"/>
      <c r="H93" s="8"/>
      <c r="I93" s="8"/>
      <c r="J93" s="9"/>
      <c r="K93" s="19"/>
      <c r="L93" s="19"/>
      <c r="M93" s="19"/>
      <c r="N93" s="19"/>
    </row>
    <row r="94" spans="1:14">
      <c r="A94" s="20"/>
      <c r="B94" s="21"/>
      <c r="C94" s="8"/>
      <c r="D94" s="8"/>
      <c r="E94" s="8"/>
      <c r="F94" s="8"/>
      <c r="G94" s="8"/>
      <c r="H94" s="8"/>
      <c r="I94" s="8"/>
      <c r="J94" s="9"/>
      <c r="K94" s="19"/>
      <c r="L94" s="19"/>
      <c r="M94" s="19"/>
      <c r="N94" s="19"/>
    </row>
    <row r="95" spans="1:14">
      <c r="A95" s="20"/>
      <c r="B95" s="21"/>
      <c r="C95" s="8"/>
      <c r="D95" s="8"/>
      <c r="E95" s="8"/>
      <c r="F95" s="8"/>
      <c r="G95" s="8"/>
      <c r="H95" s="8"/>
      <c r="I95" s="8"/>
      <c r="J95" s="9"/>
      <c r="K95" s="19"/>
      <c r="L95" s="19"/>
      <c r="M95" s="19"/>
      <c r="N95" s="19"/>
    </row>
    <row r="96" spans="1:14">
      <c r="A96" s="20"/>
      <c r="B96" s="21"/>
      <c r="C96" s="8"/>
      <c r="D96" s="8"/>
      <c r="E96" s="8"/>
      <c r="F96" s="8"/>
      <c r="G96" s="8"/>
      <c r="H96" s="8"/>
      <c r="I96" s="8"/>
      <c r="J96" s="9"/>
      <c r="K96" s="19"/>
      <c r="L96" s="19"/>
      <c r="M96" s="19"/>
      <c r="N96" s="19"/>
    </row>
    <row r="97" spans="1:14">
      <c r="A97" s="20"/>
      <c r="B97" s="21"/>
      <c r="C97" s="8"/>
      <c r="D97" s="8"/>
      <c r="E97" s="8"/>
      <c r="F97" s="8"/>
      <c r="G97" s="8"/>
      <c r="H97" s="8"/>
      <c r="I97" s="8"/>
      <c r="J97" s="9"/>
      <c r="K97" s="19"/>
      <c r="L97" s="19"/>
      <c r="M97" s="19"/>
      <c r="N97" s="19"/>
    </row>
    <row r="98" spans="1:14">
      <c r="A98" s="20"/>
      <c r="B98" s="21"/>
      <c r="C98" s="8"/>
      <c r="D98" s="8"/>
      <c r="E98" s="8"/>
      <c r="F98" s="8"/>
      <c r="G98" s="8"/>
      <c r="H98" s="8"/>
      <c r="I98" s="8"/>
      <c r="J98" s="9"/>
      <c r="K98" s="19"/>
      <c r="L98" s="19"/>
      <c r="M98" s="19"/>
      <c r="N98" s="19"/>
    </row>
    <row r="99" spans="1:14">
      <c r="A99" s="20"/>
      <c r="B99" s="21"/>
      <c r="C99" s="8"/>
      <c r="D99" s="8"/>
      <c r="E99" s="8"/>
      <c r="F99" s="8"/>
      <c r="G99" s="8"/>
      <c r="H99" s="8"/>
      <c r="I99" s="8"/>
      <c r="J99" s="9"/>
      <c r="K99" s="19"/>
      <c r="L99" s="19"/>
      <c r="M99" s="19"/>
      <c r="N99" s="19"/>
    </row>
    <row r="100" spans="1:14">
      <c r="A100" s="20"/>
      <c r="B100" s="21"/>
      <c r="C100" s="8"/>
      <c r="D100" s="8"/>
      <c r="E100" s="8"/>
      <c r="F100" s="8"/>
      <c r="G100" s="8"/>
      <c r="H100" s="8"/>
      <c r="I100" s="8"/>
      <c r="J100" s="9"/>
      <c r="K100" s="19"/>
      <c r="L100" s="19"/>
      <c r="M100" s="19"/>
      <c r="N100" s="19"/>
    </row>
    <row r="101" spans="1:14">
      <c r="A101" s="20"/>
      <c r="B101" s="21"/>
      <c r="C101" s="8"/>
      <c r="D101" s="8"/>
      <c r="E101" s="8"/>
      <c r="F101" s="8"/>
      <c r="G101" s="8"/>
      <c r="H101" s="8"/>
      <c r="I101" s="8"/>
      <c r="J101" s="9"/>
      <c r="K101" s="19"/>
      <c r="L101" s="19"/>
      <c r="M101" s="19"/>
      <c r="N101" s="19"/>
    </row>
    <row r="102" spans="1:14">
      <c r="A102" s="20"/>
      <c r="B102" s="21"/>
      <c r="C102" s="8"/>
      <c r="D102" s="8"/>
      <c r="E102" s="8"/>
      <c r="F102" s="8"/>
      <c r="G102" s="8"/>
      <c r="H102" s="8"/>
      <c r="I102" s="8"/>
      <c r="J102" s="9"/>
      <c r="K102" s="19"/>
      <c r="L102" s="19"/>
      <c r="M102" s="19"/>
      <c r="N102" s="19"/>
    </row>
    <row r="103" spans="1:14">
      <c r="A103" s="20"/>
      <c r="B103" s="21"/>
      <c r="C103" s="8"/>
      <c r="D103" s="8"/>
      <c r="E103" s="8"/>
      <c r="F103" s="8"/>
      <c r="G103" s="8"/>
      <c r="H103" s="8"/>
      <c r="I103" s="8"/>
      <c r="J103" s="9"/>
      <c r="K103" s="19"/>
      <c r="L103" s="19"/>
      <c r="M103" s="19"/>
      <c r="N103" s="19"/>
    </row>
    <row r="104" spans="1:14">
      <c r="A104" s="20"/>
      <c r="B104" s="21"/>
      <c r="C104" s="8"/>
      <c r="D104" s="8"/>
      <c r="E104" s="8"/>
      <c r="F104" s="8"/>
      <c r="G104" s="8"/>
      <c r="H104" s="8"/>
      <c r="I104" s="8"/>
      <c r="J104" s="9"/>
      <c r="K104" s="19"/>
      <c r="L104" s="19"/>
      <c r="M104" s="19"/>
      <c r="N104" s="19"/>
    </row>
    <row r="105" spans="1:14">
      <c r="A105" s="20"/>
      <c r="B105" s="21"/>
      <c r="C105" s="8"/>
      <c r="D105" s="8"/>
      <c r="E105" s="8"/>
      <c r="F105" s="8"/>
      <c r="G105" s="8"/>
      <c r="H105" s="8"/>
      <c r="I105" s="8"/>
      <c r="J105" s="9"/>
      <c r="K105" s="19"/>
      <c r="L105" s="19"/>
      <c r="M105" s="19"/>
      <c r="N105" s="19"/>
    </row>
    <row r="106" spans="1:14">
      <c r="A106" s="20"/>
      <c r="B106" s="21"/>
      <c r="C106" s="8"/>
      <c r="D106" s="8"/>
      <c r="E106" s="8"/>
      <c r="F106" s="8"/>
      <c r="G106" s="8"/>
      <c r="H106" s="8"/>
      <c r="I106" s="8"/>
      <c r="J106" s="9"/>
      <c r="K106" s="19"/>
      <c r="L106" s="19"/>
      <c r="M106" s="19"/>
      <c r="N106" s="19"/>
    </row>
    <row r="107" spans="1:14">
      <c r="A107" s="20"/>
      <c r="B107" s="21"/>
      <c r="C107" s="8"/>
      <c r="D107" s="8"/>
      <c r="E107" s="8"/>
      <c r="F107" s="8"/>
      <c r="G107" s="8"/>
      <c r="H107" s="8"/>
      <c r="I107" s="8"/>
      <c r="J107" s="9"/>
      <c r="K107" s="19"/>
      <c r="L107" s="19"/>
      <c r="M107" s="19"/>
      <c r="N107" s="19"/>
    </row>
    <row r="108" spans="1:14">
      <c r="A108" s="20"/>
      <c r="B108" s="21"/>
      <c r="C108" s="8"/>
      <c r="D108" s="8"/>
      <c r="E108" s="8"/>
      <c r="F108" s="8"/>
      <c r="G108" s="8"/>
      <c r="H108" s="8"/>
      <c r="I108" s="8"/>
      <c r="J108" s="9"/>
      <c r="K108" s="19"/>
      <c r="L108" s="19"/>
      <c r="M108" s="19"/>
      <c r="N108" s="19"/>
    </row>
    <row r="109" spans="1:14">
      <c r="A109" s="20"/>
      <c r="B109" s="21"/>
      <c r="C109" s="8"/>
      <c r="D109" s="8"/>
      <c r="E109" s="8"/>
      <c r="F109" s="8"/>
      <c r="G109" s="8"/>
      <c r="H109" s="8"/>
      <c r="I109" s="8"/>
      <c r="J109" s="9"/>
      <c r="K109" s="19"/>
      <c r="L109" s="19"/>
      <c r="M109" s="19"/>
      <c r="N109" s="19"/>
    </row>
    <row r="110" spans="1:14">
      <c r="A110" s="20"/>
      <c r="B110" s="21"/>
      <c r="C110" s="8"/>
      <c r="D110" s="8"/>
      <c r="E110" s="8"/>
      <c r="F110" s="8"/>
      <c r="G110" s="8"/>
      <c r="H110" s="8"/>
      <c r="I110" s="8"/>
      <c r="J110" s="9"/>
      <c r="K110" s="19"/>
      <c r="L110" s="19"/>
      <c r="M110" s="19"/>
      <c r="N110" s="19"/>
    </row>
    <row r="111" spans="1:14">
      <c r="A111" s="20"/>
      <c r="B111" s="21"/>
      <c r="C111" s="8"/>
      <c r="D111" s="8"/>
      <c r="E111" s="8"/>
      <c r="F111" s="8"/>
      <c r="G111" s="8"/>
      <c r="H111" s="8"/>
      <c r="I111" s="8"/>
      <c r="J111" s="9"/>
      <c r="K111" s="19"/>
      <c r="L111" s="19"/>
      <c r="M111" s="19"/>
      <c r="N111" s="19"/>
    </row>
    <row r="112" spans="1:14">
      <c r="A112" s="20"/>
      <c r="B112" s="21"/>
      <c r="C112" s="8"/>
      <c r="D112" s="8"/>
      <c r="E112" s="8"/>
      <c r="F112" s="8"/>
      <c r="G112" s="8"/>
      <c r="H112" s="8"/>
      <c r="I112" s="8"/>
      <c r="J112" s="9"/>
      <c r="K112" s="19"/>
      <c r="L112" s="19"/>
      <c r="M112" s="19"/>
      <c r="N112" s="19"/>
    </row>
    <row r="113" spans="1:14">
      <c r="A113" s="20"/>
      <c r="B113" s="21"/>
      <c r="C113" s="8"/>
      <c r="D113" s="8"/>
      <c r="E113" s="8"/>
      <c r="F113" s="8"/>
      <c r="G113" s="8"/>
      <c r="H113" s="8"/>
      <c r="I113" s="8"/>
      <c r="J113" s="9"/>
      <c r="K113" s="19"/>
      <c r="L113" s="19"/>
      <c r="M113" s="19"/>
      <c r="N113" s="19"/>
    </row>
    <row r="114" spans="1:14">
      <c r="A114" s="20"/>
      <c r="B114" s="21"/>
      <c r="C114" s="8"/>
      <c r="D114" s="8"/>
      <c r="E114" s="8"/>
      <c r="F114" s="8"/>
      <c r="G114" s="8"/>
      <c r="H114" s="8"/>
      <c r="I114" s="8"/>
      <c r="J114" s="9"/>
      <c r="K114" s="19"/>
      <c r="L114" s="19"/>
      <c r="M114" s="19"/>
      <c r="N114" s="19"/>
    </row>
    <row r="115" spans="1:14">
      <c r="A115" s="20"/>
      <c r="B115" s="21"/>
      <c r="C115" s="8"/>
      <c r="D115" s="8"/>
      <c r="E115" s="8"/>
      <c r="F115" s="8"/>
      <c r="G115" s="8"/>
      <c r="H115" s="8"/>
      <c r="I115" s="8"/>
      <c r="J115" s="9"/>
      <c r="K115" s="19"/>
      <c r="L115" s="19"/>
      <c r="M115" s="19"/>
      <c r="N115" s="19"/>
    </row>
    <row r="116" spans="1:14">
      <c r="A116" s="20"/>
      <c r="B116" s="21"/>
      <c r="C116" s="8"/>
      <c r="D116" s="8"/>
      <c r="E116" s="8"/>
      <c r="F116" s="8"/>
      <c r="G116" s="8"/>
      <c r="H116" s="8"/>
      <c r="I116" s="8"/>
      <c r="J116" s="9"/>
      <c r="K116" s="19"/>
      <c r="L116" s="19"/>
      <c r="M116" s="19"/>
      <c r="N116" s="19"/>
    </row>
    <row r="117" spans="1:14">
      <c r="A117" s="20"/>
      <c r="B117" s="21"/>
      <c r="C117" s="8"/>
      <c r="D117" s="8"/>
      <c r="E117" s="8"/>
      <c r="F117" s="8"/>
      <c r="G117" s="8"/>
      <c r="H117" s="8"/>
      <c r="I117" s="8"/>
      <c r="J117" s="9"/>
      <c r="K117" s="19"/>
      <c r="L117" s="19"/>
      <c r="M117" s="19"/>
      <c r="N117" s="19"/>
    </row>
    <row r="118" spans="1:14">
      <c r="A118" s="20"/>
      <c r="B118" s="21"/>
      <c r="C118" s="8"/>
      <c r="D118" s="8"/>
      <c r="E118" s="8"/>
      <c r="F118" s="8"/>
      <c r="G118" s="8"/>
      <c r="H118" s="8"/>
      <c r="I118" s="8"/>
      <c r="J118" s="9"/>
      <c r="K118" s="19"/>
      <c r="L118" s="19"/>
      <c r="M118" s="19"/>
      <c r="N118" s="19"/>
    </row>
    <row r="119" spans="1:14">
      <c r="A119" s="20"/>
      <c r="B119" s="21"/>
      <c r="C119" s="8"/>
      <c r="D119" s="8"/>
      <c r="E119" s="8"/>
      <c r="F119" s="8"/>
      <c r="G119" s="8"/>
      <c r="H119" s="8"/>
      <c r="I119" s="8"/>
      <c r="J119" s="9"/>
      <c r="K119" s="19"/>
      <c r="L119" s="19"/>
      <c r="M119" s="19"/>
      <c r="N119" s="19"/>
    </row>
    <row r="120" spans="1:14">
      <c r="A120" s="20"/>
      <c r="B120" s="21"/>
      <c r="C120" s="8"/>
      <c r="D120" s="8"/>
      <c r="E120" s="8"/>
      <c r="F120" s="8"/>
      <c r="G120" s="8"/>
      <c r="H120" s="8"/>
      <c r="I120" s="8"/>
      <c r="J120" s="9"/>
      <c r="K120" s="19"/>
      <c r="L120" s="19"/>
      <c r="M120" s="19"/>
      <c r="N120" s="19"/>
    </row>
    <row r="121" spans="1:14">
      <c r="A121" s="20"/>
      <c r="B121" s="21"/>
      <c r="C121" s="8"/>
      <c r="D121" s="8"/>
      <c r="E121" s="8"/>
      <c r="F121" s="8"/>
      <c r="G121" s="8"/>
      <c r="H121" s="8"/>
      <c r="I121" s="8"/>
      <c r="J121" s="9"/>
      <c r="K121" s="19"/>
      <c r="L121" s="19"/>
      <c r="M121" s="19"/>
      <c r="N121" s="19"/>
    </row>
    <row r="122" spans="1:14">
      <c r="A122" s="20"/>
      <c r="B122" s="21"/>
      <c r="C122" s="8"/>
      <c r="D122" s="8"/>
      <c r="E122" s="8"/>
      <c r="F122" s="8"/>
      <c r="G122" s="8"/>
      <c r="H122" s="8"/>
      <c r="I122" s="8"/>
      <c r="J122" s="9"/>
      <c r="K122" s="19"/>
      <c r="L122" s="19"/>
      <c r="M122" s="19"/>
      <c r="N122" s="19"/>
    </row>
    <row r="123" spans="1:14">
      <c r="A123" s="20"/>
      <c r="B123" s="21"/>
      <c r="C123" s="8"/>
      <c r="D123" s="8"/>
      <c r="E123" s="8"/>
      <c r="F123" s="8"/>
      <c r="G123" s="8"/>
      <c r="H123" s="8"/>
      <c r="I123" s="8"/>
      <c r="J123" s="9"/>
      <c r="K123" s="19"/>
      <c r="L123" s="19"/>
      <c r="M123" s="19"/>
      <c r="N123" s="19"/>
    </row>
    <row r="124" spans="1:14">
      <c r="A124" s="20"/>
      <c r="B124" s="21"/>
      <c r="C124" s="8"/>
      <c r="D124" s="8"/>
      <c r="E124" s="8"/>
      <c r="F124" s="8"/>
      <c r="G124" s="8"/>
      <c r="H124" s="8"/>
      <c r="I124" s="8"/>
      <c r="J124" s="9"/>
      <c r="K124" s="19"/>
      <c r="L124" s="19"/>
      <c r="M124" s="19"/>
      <c r="N124" s="19"/>
    </row>
    <row r="125" spans="1:14">
      <c r="A125" s="20"/>
      <c r="B125" s="21"/>
      <c r="C125" s="8"/>
      <c r="D125" s="8"/>
      <c r="E125" s="8"/>
      <c r="F125" s="8"/>
      <c r="G125" s="8"/>
      <c r="H125" s="8"/>
      <c r="I125" s="8"/>
      <c r="J125" s="9"/>
      <c r="K125" s="19"/>
      <c r="L125" s="19"/>
      <c r="M125" s="19"/>
      <c r="N125" s="19"/>
    </row>
    <row r="126" spans="1:14">
      <c r="A126" s="20"/>
      <c r="B126" s="21"/>
      <c r="C126" s="8"/>
      <c r="D126" s="8"/>
      <c r="E126" s="8"/>
      <c r="F126" s="8"/>
      <c r="G126" s="8"/>
      <c r="H126" s="8"/>
      <c r="I126" s="8"/>
      <c r="J126" s="9"/>
      <c r="K126" s="19"/>
      <c r="L126" s="19"/>
      <c r="M126" s="19"/>
      <c r="N126" s="19"/>
    </row>
    <row r="127" spans="1:14">
      <c r="A127" s="20"/>
      <c r="B127" s="21"/>
      <c r="C127" s="8"/>
      <c r="D127" s="8"/>
      <c r="E127" s="8"/>
      <c r="F127" s="8"/>
      <c r="G127" s="8"/>
      <c r="H127" s="8"/>
      <c r="I127" s="8"/>
      <c r="J127" s="9"/>
      <c r="K127" s="19"/>
      <c r="L127" s="19"/>
      <c r="M127" s="19"/>
      <c r="N127" s="19"/>
    </row>
    <row r="128" spans="1:14">
      <c r="A128" s="20"/>
      <c r="B128" s="21"/>
      <c r="C128" s="8"/>
      <c r="D128" s="8"/>
      <c r="E128" s="8"/>
      <c r="F128" s="8"/>
      <c r="G128" s="8"/>
      <c r="H128" s="8"/>
      <c r="I128" s="8"/>
      <c r="J128" s="9"/>
      <c r="K128" s="19"/>
      <c r="L128" s="19"/>
      <c r="M128" s="19"/>
      <c r="N128" s="19"/>
    </row>
    <row r="129" spans="1:14">
      <c r="A129" s="20"/>
      <c r="B129" s="21"/>
      <c r="C129" s="8"/>
      <c r="D129" s="8"/>
      <c r="E129" s="8"/>
      <c r="F129" s="8"/>
      <c r="G129" s="8"/>
      <c r="H129" s="8"/>
      <c r="I129" s="8"/>
      <c r="J129" s="9"/>
      <c r="K129" s="19"/>
      <c r="L129" s="19"/>
      <c r="M129" s="19"/>
      <c r="N129" s="19"/>
    </row>
    <row r="130" spans="1:14">
      <c r="A130" s="20"/>
      <c r="B130" s="21"/>
      <c r="C130" s="8"/>
      <c r="D130" s="8"/>
      <c r="E130" s="8"/>
      <c r="F130" s="8"/>
      <c r="G130" s="8"/>
      <c r="H130" s="8"/>
      <c r="I130" s="8"/>
      <c r="J130" s="9"/>
      <c r="K130" s="19"/>
      <c r="L130" s="19"/>
      <c r="M130" s="19"/>
      <c r="N130" s="19"/>
    </row>
    <row r="131" spans="1:14">
      <c r="A131" s="20"/>
      <c r="B131" s="21"/>
      <c r="C131" s="8"/>
      <c r="D131" s="8"/>
      <c r="E131" s="8"/>
      <c r="F131" s="8"/>
      <c r="G131" s="8"/>
      <c r="H131" s="8"/>
      <c r="I131" s="8"/>
      <c r="J131" s="9"/>
      <c r="K131" s="19"/>
      <c r="L131" s="19"/>
      <c r="M131" s="19"/>
      <c r="N131" s="19"/>
    </row>
    <row r="132" spans="1:14">
      <c r="A132" s="20"/>
      <c r="B132" s="21"/>
      <c r="C132" s="8"/>
      <c r="D132" s="8"/>
      <c r="E132" s="8"/>
      <c r="F132" s="8"/>
      <c r="G132" s="8"/>
      <c r="H132" s="8"/>
      <c r="I132" s="8"/>
      <c r="J132" s="9"/>
      <c r="K132" s="19"/>
      <c r="L132" s="19"/>
      <c r="M132" s="19"/>
      <c r="N132" s="19"/>
    </row>
    <row r="133" spans="1:14">
      <c r="A133" s="20"/>
      <c r="B133" s="21"/>
      <c r="C133" s="8"/>
      <c r="D133" s="8"/>
      <c r="E133" s="8"/>
      <c r="F133" s="8"/>
      <c r="G133" s="8"/>
      <c r="H133" s="8"/>
      <c r="I133" s="8"/>
      <c r="J133" s="9"/>
      <c r="K133" s="19"/>
      <c r="L133" s="19"/>
      <c r="M133" s="19"/>
      <c r="N133" s="19"/>
    </row>
    <row r="134" spans="1:14">
      <c r="A134" s="20"/>
      <c r="B134" s="21"/>
      <c r="C134" s="8"/>
      <c r="D134" s="8"/>
      <c r="E134" s="8"/>
      <c r="F134" s="8"/>
      <c r="G134" s="8"/>
      <c r="H134" s="8"/>
      <c r="I134" s="8"/>
      <c r="J134" s="9"/>
      <c r="K134" s="19"/>
      <c r="L134" s="19"/>
      <c r="M134" s="19"/>
      <c r="N134" s="19"/>
    </row>
    <row r="135" spans="1:14">
      <c r="A135" s="20"/>
      <c r="B135" s="21"/>
      <c r="C135" s="8"/>
      <c r="D135" s="8"/>
      <c r="E135" s="8"/>
      <c r="F135" s="8"/>
      <c r="G135" s="8"/>
      <c r="H135" s="8"/>
      <c r="I135" s="8"/>
      <c r="J135" s="9"/>
      <c r="K135" s="19"/>
      <c r="L135" s="19"/>
      <c r="M135" s="19"/>
      <c r="N135" s="19"/>
    </row>
    <row r="136" spans="1:14">
      <c r="A136" s="20"/>
      <c r="B136" s="21"/>
      <c r="C136" s="8"/>
      <c r="D136" s="8"/>
      <c r="E136" s="8"/>
      <c r="F136" s="8"/>
      <c r="G136" s="8"/>
      <c r="H136" s="8"/>
      <c r="I136" s="8"/>
      <c r="J136" s="9"/>
      <c r="K136" s="19"/>
      <c r="L136" s="19"/>
      <c r="M136" s="19"/>
      <c r="N136" s="19"/>
    </row>
    <row r="137" spans="1:14">
      <c r="A137" s="20"/>
      <c r="B137" s="21"/>
      <c r="C137" s="8"/>
      <c r="D137" s="8"/>
      <c r="E137" s="8"/>
      <c r="F137" s="8"/>
      <c r="G137" s="8"/>
      <c r="H137" s="8"/>
      <c r="I137" s="8"/>
      <c r="J137" s="9"/>
      <c r="K137" s="19"/>
      <c r="L137" s="19"/>
      <c r="M137" s="19"/>
      <c r="N137" s="19"/>
    </row>
    <row r="138" spans="1:14">
      <c r="A138" s="20"/>
      <c r="B138" s="21"/>
      <c r="C138" s="8"/>
      <c r="D138" s="8"/>
      <c r="E138" s="8"/>
      <c r="F138" s="8"/>
      <c r="G138" s="8"/>
      <c r="H138" s="8"/>
      <c r="I138" s="8"/>
      <c r="J138" s="9"/>
      <c r="K138" s="19"/>
      <c r="L138" s="19"/>
      <c r="M138" s="19"/>
      <c r="N138" s="19"/>
    </row>
    <row r="139" spans="1:14">
      <c r="A139" s="20"/>
      <c r="B139" s="21"/>
      <c r="C139" s="8"/>
      <c r="D139" s="8"/>
      <c r="E139" s="8"/>
      <c r="F139" s="8"/>
      <c r="G139" s="8"/>
      <c r="H139" s="8"/>
      <c r="I139" s="8"/>
      <c r="J139" s="9"/>
      <c r="K139" s="19"/>
      <c r="L139" s="19"/>
      <c r="M139" s="19"/>
      <c r="N139" s="19"/>
    </row>
    <row r="140" spans="1:14">
      <c r="A140" s="20"/>
      <c r="B140" s="21"/>
      <c r="C140" s="8"/>
      <c r="D140" s="8"/>
      <c r="E140" s="8"/>
      <c r="F140" s="8"/>
      <c r="G140" s="8"/>
      <c r="H140" s="8"/>
      <c r="I140" s="8"/>
      <c r="J140" s="9"/>
      <c r="K140" s="19"/>
      <c r="L140" s="19"/>
      <c r="M140" s="19"/>
      <c r="N140" s="19"/>
    </row>
    <row r="141" spans="1:14">
      <c r="A141" s="20"/>
      <c r="B141" s="21"/>
      <c r="C141" s="8"/>
      <c r="D141" s="8"/>
      <c r="E141" s="8"/>
      <c r="F141" s="8"/>
      <c r="G141" s="8"/>
      <c r="H141" s="8"/>
      <c r="I141" s="8"/>
      <c r="J141" s="9"/>
      <c r="K141" s="19"/>
      <c r="L141" s="19"/>
      <c r="M141" s="19"/>
      <c r="N141" s="19"/>
    </row>
    <row r="142" spans="1:14">
      <c r="A142" s="20"/>
      <c r="B142" s="21"/>
      <c r="C142" s="8"/>
      <c r="D142" s="8"/>
      <c r="E142" s="8"/>
      <c r="F142" s="8"/>
      <c r="G142" s="8"/>
      <c r="H142" s="8"/>
      <c r="I142" s="8"/>
      <c r="J142" s="9"/>
      <c r="K142" s="19"/>
      <c r="L142" s="19"/>
      <c r="M142" s="19"/>
      <c r="N142" s="19"/>
    </row>
    <row r="143" spans="1:14">
      <c r="A143" s="20"/>
      <c r="B143" s="21"/>
      <c r="C143" s="8"/>
      <c r="D143" s="8"/>
      <c r="E143" s="8"/>
      <c r="F143" s="8"/>
      <c r="G143" s="8"/>
      <c r="H143" s="8"/>
      <c r="I143" s="8"/>
      <c r="J143" s="9"/>
      <c r="K143" s="19"/>
      <c r="L143" s="19"/>
      <c r="M143" s="19"/>
      <c r="N143" s="19"/>
    </row>
    <row r="144" spans="1:14">
      <c r="A144" s="20"/>
      <c r="B144" s="21"/>
      <c r="C144" s="8"/>
      <c r="D144" s="8"/>
      <c r="E144" s="8"/>
      <c r="F144" s="8"/>
      <c r="G144" s="8"/>
      <c r="H144" s="8"/>
      <c r="I144" s="8"/>
      <c r="J144" s="9"/>
      <c r="K144" s="19"/>
      <c r="L144" s="19"/>
      <c r="M144" s="19"/>
      <c r="N144" s="19"/>
    </row>
    <row r="145" spans="1:14">
      <c r="A145" s="20"/>
      <c r="B145" s="21"/>
      <c r="C145" s="8"/>
      <c r="D145" s="8"/>
      <c r="E145" s="8"/>
      <c r="F145" s="8"/>
      <c r="G145" s="8"/>
      <c r="H145" s="8"/>
      <c r="I145" s="8"/>
      <c r="J145" s="9"/>
      <c r="K145" s="19"/>
      <c r="L145" s="19"/>
      <c r="M145" s="19"/>
      <c r="N145" s="19"/>
    </row>
    <row r="146" spans="1:14">
      <c r="A146" s="20"/>
      <c r="B146" s="21"/>
      <c r="C146" s="8"/>
      <c r="D146" s="8"/>
      <c r="E146" s="8"/>
      <c r="F146" s="8"/>
      <c r="G146" s="8"/>
      <c r="H146" s="8"/>
      <c r="I146" s="8"/>
      <c r="J146" s="9"/>
      <c r="K146" s="19"/>
      <c r="L146" s="19"/>
      <c r="M146" s="19"/>
      <c r="N146" s="19"/>
    </row>
    <row r="147" spans="1:14">
      <c r="A147" s="20"/>
      <c r="B147" s="21"/>
      <c r="C147" s="8"/>
      <c r="D147" s="8"/>
      <c r="E147" s="8"/>
      <c r="F147" s="8"/>
      <c r="G147" s="8"/>
      <c r="H147" s="8"/>
      <c r="I147" s="8"/>
      <c r="J147" s="9"/>
      <c r="K147" s="19"/>
      <c r="L147" s="19"/>
      <c r="M147" s="19"/>
      <c r="N147" s="19"/>
    </row>
    <row r="148" spans="1:14">
      <c r="A148" s="20"/>
      <c r="B148" s="21"/>
      <c r="C148" s="8"/>
      <c r="D148" s="8"/>
      <c r="E148" s="8"/>
      <c r="F148" s="8"/>
      <c r="G148" s="8"/>
      <c r="H148" s="8"/>
      <c r="I148" s="8"/>
      <c r="J148" s="9"/>
      <c r="K148" s="19"/>
      <c r="L148" s="19"/>
      <c r="M148" s="19"/>
      <c r="N148" s="19"/>
    </row>
    <row r="149" spans="1:14">
      <c r="A149" s="20"/>
      <c r="B149" s="21"/>
      <c r="C149" s="8"/>
      <c r="D149" s="8"/>
      <c r="E149" s="8"/>
      <c r="F149" s="8"/>
      <c r="G149" s="8"/>
      <c r="H149" s="8"/>
      <c r="I149" s="8"/>
      <c r="J149" s="9"/>
      <c r="K149" s="19"/>
      <c r="L149" s="19"/>
      <c r="M149" s="19"/>
      <c r="N149" s="19"/>
    </row>
    <row r="150" spans="1:14">
      <c r="A150" s="20"/>
      <c r="B150" s="21"/>
      <c r="C150" s="8"/>
      <c r="D150" s="8"/>
      <c r="E150" s="8"/>
      <c r="F150" s="8"/>
      <c r="G150" s="8"/>
      <c r="H150" s="8"/>
      <c r="I150" s="8"/>
      <c r="J150" s="9"/>
      <c r="K150" s="19"/>
      <c r="L150" s="19"/>
      <c r="M150" s="19"/>
      <c r="N150" s="19"/>
    </row>
    <row r="151" spans="1:14">
      <c r="A151" s="20"/>
      <c r="B151" s="21"/>
      <c r="C151" s="8"/>
      <c r="D151" s="8"/>
      <c r="E151" s="8"/>
      <c r="F151" s="8"/>
      <c r="G151" s="8"/>
      <c r="H151" s="8"/>
      <c r="I151" s="8"/>
      <c r="J151" s="9"/>
      <c r="K151" s="19"/>
      <c r="L151" s="19"/>
      <c r="M151" s="19"/>
      <c r="N151" s="19"/>
    </row>
    <row r="152" spans="1:14">
      <c r="A152" s="20"/>
      <c r="B152" s="21"/>
      <c r="C152" s="8"/>
      <c r="D152" s="8"/>
      <c r="E152" s="8"/>
      <c r="F152" s="8"/>
      <c r="G152" s="8"/>
      <c r="H152" s="8"/>
      <c r="I152" s="8"/>
      <c r="J152" s="9"/>
      <c r="K152" s="19"/>
      <c r="L152" s="19"/>
      <c r="M152" s="19"/>
      <c r="N152" s="19"/>
    </row>
    <row r="153" spans="1:14">
      <c r="A153" s="20"/>
      <c r="B153" s="21"/>
      <c r="C153" s="8"/>
      <c r="D153" s="8"/>
      <c r="E153" s="8"/>
      <c r="F153" s="8"/>
      <c r="G153" s="8"/>
      <c r="H153" s="8"/>
      <c r="I153" s="8"/>
      <c r="J153" s="9"/>
      <c r="K153" s="19"/>
      <c r="L153" s="19"/>
      <c r="M153" s="19"/>
      <c r="N153" s="19"/>
    </row>
    <row r="154" spans="1:14">
      <c r="A154" s="20"/>
      <c r="B154" s="21"/>
      <c r="C154" s="8"/>
      <c r="D154" s="8"/>
      <c r="E154" s="8"/>
      <c r="F154" s="8"/>
      <c r="G154" s="8"/>
      <c r="H154" s="8"/>
      <c r="I154" s="8"/>
      <c r="J154" s="9"/>
      <c r="K154" s="19"/>
      <c r="L154" s="19"/>
      <c r="M154" s="19"/>
      <c r="N154" s="19"/>
    </row>
    <row r="155" spans="1:14">
      <c r="A155" s="20"/>
      <c r="B155" s="21"/>
      <c r="C155" s="8"/>
      <c r="D155" s="8"/>
      <c r="E155" s="8"/>
      <c r="F155" s="8"/>
      <c r="G155" s="8"/>
      <c r="H155" s="8"/>
      <c r="I155" s="8"/>
      <c r="J155" s="9"/>
      <c r="K155" s="19"/>
      <c r="L155" s="19"/>
      <c r="M155" s="19"/>
      <c r="N155" s="19"/>
    </row>
    <row r="156" spans="1:14">
      <c r="A156" s="20"/>
      <c r="B156" s="21"/>
      <c r="C156" s="8"/>
      <c r="D156" s="8"/>
      <c r="E156" s="8"/>
      <c r="F156" s="8"/>
      <c r="G156" s="8"/>
      <c r="H156" s="8"/>
      <c r="I156" s="8"/>
      <c r="J156" s="9"/>
      <c r="K156" s="19"/>
      <c r="L156" s="19"/>
      <c r="M156" s="19"/>
      <c r="N156" s="19"/>
    </row>
    <row r="157" spans="1:14">
      <c r="A157" s="20"/>
      <c r="B157" s="21"/>
      <c r="C157" s="8"/>
      <c r="D157" s="8"/>
      <c r="E157" s="8"/>
      <c r="F157" s="8"/>
      <c r="G157" s="8"/>
      <c r="H157" s="8"/>
      <c r="I157" s="8"/>
      <c r="J157" s="9"/>
      <c r="K157" s="19"/>
      <c r="L157" s="19"/>
      <c r="M157" s="19"/>
      <c r="N157" s="19"/>
    </row>
    <row r="158" spans="1:14">
      <c r="A158" s="20"/>
      <c r="B158" s="21"/>
      <c r="C158" s="8"/>
      <c r="D158" s="8"/>
      <c r="E158" s="8"/>
      <c r="F158" s="8"/>
      <c r="G158" s="8"/>
      <c r="H158" s="8"/>
      <c r="I158" s="8"/>
      <c r="J158" s="9"/>
      <c r="K158" s="19"/>
      <c r="L158" s="19"/>
      <c r="M158" s="19"/>
      <c r="N158" s="19"/>
    </row>
    <row r="159" spans="1:14">
      <c r="A159" s="20"/>
      <c r="B159" s="21"/>
      <c r="C159" s="8"/>
      <c r="D159" s="8"/>
      <c r="E159" s="8"/>
      <c r="F159" s="8"/>
      <c r="G159" s="8"/>
      <c r="H159" s="8"/>
      <c r="I159" s="8"/>
      <c r="J159" s="9"/>
      <c r="K159" s="19"/>
      <c r="L159" s="19"/>
      <c r="M159" s="19"/>
      <c r="N159" s="19"/>
    </row>
    <row r="160" spans="1:14">
      <c r="A160" s="20"/>
      <c r="B160" s="21"/>
      <c r="C160" s="8"/>
      <c r="D160" s="8"/>
      <c r="E160" s="8"/>
      <c r="F160" s="8"/>
      <c r="G160" s="8"/>
      <c r="H160" s="8"/>
      <c r="I160" s="8"/>
      <c r="J160" s="9"/>
      <c r="K160" s="19"/>
      <c r="L160" s="19"/>
      <c r="M160" s="19"/>
      <c r="N160" s="19"/>
    </row>
    <row r="161" spans="1:14">
      <c r="A161" s="20"/>
      <c r="B161" s="21"/>
      <c r="C161" s="8"/>
      <c r="D161" s="8"/>
      <c r="E161" s="8"/>
      <c r="F161" s="8"/>
      <c r="G161" s="8"/>
      <c r="H161" s="8"/>
      <c r="I161" s="8"/>
      <c r="J161" s="9"/>
      <c r="K161" s="19"/>
      <c r="L161" s="19"/>
      <c r="M161" s="19"/>
      <c r="N161" s="19"/>
    </row>
    <row r="162" spans="1:14">
      <c r="A162" s="20"/>
      <c r="B162" s="21"/>
      <c r="C162" s="8"/>
      <c r="D162" s="8"/>
      <c r="E162" s="8"/>
      <c r="F162" s="8"/>
      <c r="G162" s="8"/>
      <c r="H162" s="8"/>
      <c r="I162" s="8"/>
      <c r="J162" s="9"/>
      <c r="K162" s="19"/>
      <c r="L162" s="19"/>
      <c r="M162" s="19"/>
      <c r="N162" s="19"/>
    </row>
    <row r="163" spans="1:14">
      <c r="A163" s="20"/>
      <c r="B163" s="21"/>
      <c r="C163" s="8"/>
      <c r="D163" s="8"/>
      <c r="E163" s="8"/>
      <c r="F163" s="8"/>
      <c r="G163" s="8"/>
      <c r="H163" s="8"/>
      <c r="I163" s="8"/>
      <c r="J163" s="9"/>
      <c r="K163" s="19"/>
      <c r="L163" s="19"/>
      <c r="M163" s="19"/>
      <c r="N163" s="19"/>
    </row>
    <row r="164" spans="1:14">
      <c r="A164" s="20"/>
      <c r="B164" s="21"/>
      <c r="C164" s="8"/>
      <c r="D164" s="8"/>
      <c r="E164" s="8"/>
      <c r="F164" s="8"/>
      <c r="G164" s="8"/>
      <c r="H164" s="8"/>
      <c r="I164" s="8"/>
      <c r="J164" s="9"/>
      <c r="K164" s="19"/>
      <c r="L164" s="19"/>
      <c r="M164" s="19"/>
      <c r="N164" s="19"/>
    </row>
    <row r="165" spans="1:14">
      <c r="A165" s="20"/>
      <c r="B165" s="21"/>
      <c r="C165" s="8"/>
      <c r="D165" s="8"/>
      <c r="E165" s="8"/>
      <c r="F165" s="8"/>
      <c r="G165" s="8"/>
      <c r="H165" s="8"/>
      <c r="I165" s="8"/>
      <c r="J165" s="9"/>
      <c r="K165" s="19"/>
      <c r="L165" s="19"/>
      <c r="M165" s="19"/>
      <c r="N165" s="19"/>
    </row>
    <row r="166" spans="1:14">
      <c r="A166" s="20"/>
      <c r="B166" s="21"/>
      <c r="C166" s="8"/>
      <c r="D166" s="8"/>
      <c r="E166" s="8"/>
      <c r="F166" s="8"/>
      <c r="G166" s="8"/>
      <c r="H166" s="8"/>
      <c r="I166" s="8"/>
      <c r="J166" s="9"/>
      <c r="K166" s="19"/>
      <c r="L166" s="19"/>
      <c r="M166" s="19"/>
      <c r="N166" s="19"/>
    </row>
    <row r="167" spans="1:14">
      <c r="A167" s="20"/>
      <c r="B167" s="21"/>
      <c r="C167" s="8"/>
      <c r="D167" s="8"/>
      <c r="E167" s="8"/>
      <c r="F167" s="8"/>
      <c r="G167" s="8"/>
      <c r="H167" s="8"/>
      <c r="I167" s="8"/>
      <c r="J167" s="9"/>
      <c r="K167" s="19"/>
      <c r="L167" s="19"/>
      <c r="M167" s="19"/>
      <c r="N167" s="19"/>
    </row>
    <row r="168" spans="1:14">
      <c r="A168" s="20"/>
      <c r="B168" s="21"/>
      <c r="C168" s="8"/>
      <c r="D168" s="8"/>
      <c r="E168" s="8"/>
      <c r="F168" s="8"/>
      <c r="G168" s="8"/>
      <c r="H168" s="8"/>
      <c r="I168" s="8"/>
      <c r="J168" s="9"/>
      <c r="K168" s="19"/>
      <c r="L168" s="19"/>
      <c r="M168" s="19"/>
      <c r="N168" s="19"/>
    </row>
    <row r="169" spans="1:14">
      <c r="A169" s="20"/>
      <c r="B169" s="21"/>
      <c r="C169" s="8"/>
      <c r="D169" s="8"/>
      <c r="E169" s="8"/>
      <c r="F169" s="8"/>
      <c r="G169" s="8"/>
      <c r="H169" s="8"/>
      <c r="I169" s="8"/>
      <c r="J169" s="9"/>
      <c r="K169" s="19"/>
      <c r="L169" s="19"/>
      <c r="M169" s="19"/>
      <c r="N169" s="19"/>
    </row>
    <row r="170" spans="1:14">
      <c r="A170" s="20"/>
      <c r="B170" s="21"/>
      <c r="C170" s="8"/>
      <c r="D170" s="8"/>
      <c r="E170" s="8"/>
      <c r="F170" s="8"/>
      <c r="G170" s="8"/>
      <c r="H170" s="8"/>
      <c r="I170" s="8"/>
      <c r="J170" s="9"/>
      <c r="K170" s="19"/>
      <c r="L170" s="19"/>
      <c r="M170" s="19"/>
      <c r="N170" s="19"/>
    </row>
    <row r="171" spans="1:14">
      <c r="A171" s="20"/>
      <c r="B171" s="21"/>
      <c r="C171" s="8"/>
      <c r="D171" s="8"/>
      <c r="E171" s="8"/>
      <c r="F171" s="8"/>
      <c r="G171" s="8"/>
      <c r="H171" s="8"/>
      <c r="I171" s="8"/>
      <c r="J171" s="9"/>
      <c r="K171" s="19"/>
      <c r="L171" s="19"/>
      <c r="M171" s="19"/>
      <c r="N171" s="19"/>
    </row>
    <row r="172" spans="1:14">
      <c r="A172" s="20"/>
      <c r="B172" s="21"/>
      <c r="C172" s="8"/>
      <c r="D172" s="8"/>
      <c r="E172" s="8"/>
      <c r="F172" s="8"/>
      <c r="G172" s="8"/>
      <c r="H172" s="8"/>
      <c r="I172" s="8"/>
      <c r="J172" s="9"/>
      <c r="K172" s="19"/>
      <c r="L172" s="19"/>
      <c r="M172" s="19"/>
      <c r="N172" s="19"/>
    </row>
    <row r="173" spans="1:14">
      <c r="A173" s="20"/>
      <c r="B173" s="21"/>
      <c r="C173" s="8"/>
      <c r="D173" s="8"/>
      <c r="E173" s="8"/>
      <c r="F173" s="8"/>
      <c r="G173" s="8"/>
      <c r="H173" s="8"/>
      <c r="I173" s="8"/>
      <c r="J173" s="9"/>
      <c r="K173" s="19"/>
      <c r="L173" s="19"/>
      <c r="M173" s="19"/>
      <c r="N173" s="19"/>
    </row>
    <row r="174" spans="1:14">
      <c r="A174" s="20"/>
      <c r="B174" s="21"/>
      <c r="C174" s="8"/>
      <c r="D174" s="8"/>
      <c r="E174" s="8"/>
      <c r="F174" s="8"/>
      <c r="G174" s="8"/>
      <c r="H174" s="8"/>
      <c r="I174" s="8"/>
      <c r="J174" s="9"/>
      <c r="K174" s="19"/>
      <c r="L174" s="19"/>
      <c r="M174" s="19"/>
      <c r="N174" s="19"/>
    </row>
    <row r="175" spans="1:14">
      <c r="A175" s="20"/>
      <c r="B175" s="21"/>
      <c r="C175" s="8"/>
      <c r="D175" s="8"/>
      <c r="E175" s="8"/>
      <c r="F175" s="8"/>
      <c r="G175" s="8"/>
      <c r="H175" s="8"/>
      <c r="I175" s="8"/>
      <c r="J175" s="9"/>
      <c r="K175" s="19"/>
      <c r="L175" s="19"/>
      <c r="M175" s="19"/>
      <c r="N175" s="19"/>
    </row>
    <row r="176" spans="1:14">
      <c r="A176" s="20"/>
      <c r="B176" s="21"/>
      <c r="C176" s="8"/>
      <c r="D176" s="8"/>
      <c r="E176" s="8"/>
      <c r="F176" s="8"/>
      <c r="G176" s="8"/>
      <c r="H176" s="8"/>
      <c r="I176" s="8"/>
      <c r="J176" s="9"/>
      <c r="K176" s="19"/>
      <c r="L176" s="19"/>
      <c r="M176" s="19"/>
      <c r="N176" s="19"/>
    </row>
    <row r="177" spans="1:14">
      <c r="A177" s="20"/>
      <c r="B177" s="21"/>
      <c r="C177" s="8"/>
      <c r="D177" s="8"/>
      <c r="E177" s="8"/>
      <c r="F177" s="8"/>
      <c r="G177" s="8"/>
      <c r="H177" s="8"/>
      <c r="I177" s="8"/>
      <c r="J177" s="9"/>
      <c r="K177" s="19"/>
      <c r="L177" s="19"/>
      <c r="M177" s="19"/>
      <c r="N177" s="19"/>
    </row>
    <row r="178" spans="1:14">
      <c r="A178" s="20"/>
      <c r="B178" s="21"/>
      <c r="C178" s="8"/>
      <c r="D178" s="8"/>
      <c r="E178" s="8"/>
      <c r="F178" s="8"/>
      <c r="G178" s="8"/>
      <c r="H178" s="8"/>
      <c r="I178" s="8"/>
      <c r="J178" s="9"/>
      <c r="K178" s="19"/>
      <c r="L178" s="19"/>
      <c r="M178" s="19"/>
      <c r="N178" s="19"/>
    </row>
    <row r="179" spans="1:14">
      <c r="A179" s="20"/>
      <c r="B179" s="21"/>
      <c r="C179" s="8"/>
      <c r="D179" s="8"/>
      <c r="E179" s="8"/>
      <c r="F179" s="8"/>
      <c r="G179" s="8"/>
      <c r="H179" s="8"/>
      <c r="I179" s="8"/>
      <c r="J179" s="9"/>
      <c r="K179" s="19"/>
      <c r="L179" s="19"/>
      <c r="M179" s="19"/>
      <c r="N179" s="19"/>
    </row>
    <row r="180" spans="1:14">
      <c r="A180" s="20"/>
      <c r="B180" s="21"/>
      <c r="C180" s="8"/>
      <c r="D180" s="8"/>
      <c r="E180" s="8"/>
      <c r="F180" s="8"/>
      <c r="G180" s="8"/>
      <c r="H180" s="8"/>
      <c r="I180" s="8"/>
      <c r="J180" s="9"/>
      <c r="K180" s="19"/>
      <c r="L180" s="19"/>
      <c r="M180" s="19"/>
      <c r="N180" s="19"/>
    </row>
    <row r="181" spans="1:14">
      <c r="A181" s="20"/>
      <c r="B181" s="21"/>
      <c r="C181" s="8"/>
      <c r="D181" s="8"/>
      <c r="E181" s="8"/>
      <c r="F181" s="8"/>
      <c r="G181" s="8"/>
      <c r="H181" s="8"/>
      <c r="I181" s="8"/>
      <c r="J181" s="9"/>
      <c r="K181" s="19"/>
      <c r="L181" s="19"/>
      <c r="M181" s="19"/>
      <c r="N181" s="19"/>
    </row>
    <row r="182" spans="1:14">
      <c r="A182" s="20"/>
      <c r="B182" s="21"/>
      <c r="C182" s="8"/>
      <c r="D182" s="8"/>
      <c r="E182" s="8"/>
      <c r="F182" s="8"/>
      <c r="G182" s="8"/>
      <c r="H182" s="8"/>
      <c r="I182" s="8"/>
      <c r="J182" s="9"/>
      <c r="K182" s="19"/>
      <c r="L182" s="19"/>
      <c r="M182" s="19"/>
      <c r="N182" s="19"/>
    </row>
    <row r="183" spans="1:14">
      <c r="A183" s="20"/>
      <c r="B183" s="21"/>
      <c r="C183" s="8"/>
      <c r="D183" s="8"/>
      <c r="E183" s="8"/>
      <c r="F183" s="8"/>
      <c r="G183" s="8"/>
      <c r="H183" s="8"/>
      <c r="I183" s="8"/>
      <c r="J183" s="9"/>
      <c r="K183" s="19"/>
      <c r="L183" s="19"/>
      <c r="M183" s="19"/>
      <c r="N183" s="19"/>
    </row>
    <row r="184" spans="1:14">
      <c r="A184" s="20"/>
      <c r="B184" s="21"/>
      <c r="C184" s="8"/>
      <c r="D184" s="8"/>
      <c r="E184" s="8"/>
      <c r="F184" s="8"/>
      <c r="G184" s="8"/>
      <c r="H184" s="8"/>
      <c r="I184" s="8"/>
      <c r="J184" s="9"/>
      <c r="K184" s="19"/>
      <c r="L184" s="19"/>
      <c r="M184" s="19"/>
      <c r="N184" s="19"/>
    </row>
    <row r="185" spans="1:14">
      <c r="A185" s="20"/>
      <c r="B185" s="21"/>
      <c r="C185" s="8"/>
      <c r="D185" s="8"/>
      <c r="E185" s="8"/>
      <c r="F185" s="8"/>
      <c r="G185" s="8"/>
      <c r="H185" s="8"/>
      <c r="I185" s="8"/>
      <c r="J185" s="9"/>
      <c r="K185" s="19"/>
      <c r="L185" s="19"/>
      <c r="M185" s="19"/>
      <c r="N185" s="19"/>
    </row>
    <row r="186" spans="1:14">
      <c r="A186" s="20"/>
      <c r="B186" s="21"/>
      <c r="C186" s="8"/>
      <c r="D186" s="8"/>
      <c r="E186" s="8"/>
      <c r="F186" s="8"/>
      <c r="G186" s="8"/>
      <c r="H186" s="8"/>
      <c r="I186" s="8"/>
      <c r="J186" s="9"/>
      <c r="K186" s="19"/>
      <c r="L186" s="19"/>
      <c r="M186" s="19"/>
      <c r="N186" s="19"/>
    </row>
    <row r="187" spans="1:14">
      <c r="A187" s="20"/>
      <c r="B187" s="21"/>
      <c r="C187" s="8"/>
      <c r="D187" s="8"/>
      <c r="E187" s="8"/>
      <c r="F187" s="8"/>
      <c r="G187" s="8"/>
      <c r="H187" s="8"/>
      <c r="I187" s="8"/>
      <c r="J187" s="9"/>
      <c r="K187" s="19"/>
      <c r="L187" s="19"/>
      <c r="M187" s="19"/>
      <c r="N187" s="19"/>
    </row>
    <row r="188" spans="1:14">
      <c r="A188" s="20"/>
      <c r="B188" s="21"/>
      <c r="C188" s="8"/>
      <c r="D188" s="8"/>
      <c r="E188" s="8"/>
      <c r="F188" s="8"/>
      <c r="G188" s="8"/>
      <c r="H188" s="8"/>
      <c r="I188" s="8"/>
      <c r="J188" s="9"/>
      <c r="K188" s="19"/>
      <c r="L188" s="19"/>
      <c r="M188" s="19"/>
      <c r="N188" s="19"/>
    </row>
    <row r="189" spans="1:14">
      <c r="A189" s="20"/>
      <c r="B189" s="21"/>
      <c r="C189" s="8"/>
      <c r="D189" s="8"/>
      <c r="E189" s="8"/>
      <c r="F189" s="8"/>
      <c r="G189" s="8"/>
      <c r="H189" s="8"/>
      <c r="I189" s="8"/>
      <c r="J189" s="9"/>
      <c r="K189" s="19"/>
      <c r="L189" s="19"/>
      <c r="M189" s="19"/>
      <c r="N189" s="19"/>
    </row>
    <row r="190" spans="1:14">
      <c r="A190" s="20"/>
      <c r="B190" s="21"/>
      <c r="C190" s="8"/>
      <c r="D190" s="8"/>
      <c r="E190" s="8"/>
      <c r="F190" s="8"/>
      <c r="G190" s="8"/>
      <c r="H190" s="8"/>
      <c r="I190" s="8"/>
      <c r="J190" s="9"/>
      <c r="K190" s="19"/>
      <c r="L190" s="19"/>
      <c r="M190" s="19"/>
      <c r="N190" s="19"/>
    </row>
    <row r="191" spans="1:14">
      <c r="A191" s="20"/>
      <c r="B191" s="21"/>
      <c r="C191" s="8"/>
      <c r="D191" s="8"/>
      <c r="E191" s="8"/>
      <c r="F191" s="8"/>
      <c r="G191" s="8"/>
      <c r="H191" s="8"/>
      <c r="I191" s="8"/>
      <c r="J191" s="9"/>
      <c r="K191" s="19"/>
      <c r="L191" s="19"/>
      <c r="M191" s="19"/>
      <c r="N191" s="19"/>
    </row>
    <row r="192" spans="1:14">
      <c r="A192" s="20"/>
      <c r="B192" s="21"/>
      <c r="C192" s="8"/>
      <c r="D192" s="8"/>
      <c r="E192" s="8"/>
      <c r="F192" s="8"/>
      <c r="G192" s="8"/>
      <c r="H192" s="8"/>
      <c r="I192" s="8"/>
      <c r="J192" s="9"/>
      <c r="K192" s="19"/>
      <c r="L192" s="19"/>
      <c r="M192" s="19"/>
      <c r="N192" s="19"/>
    </row>
    <row r="193" spans="1:14">
      <c r="A193" s="20"/>
      <c r="B193" s="21"/>
      <c r="C193" s="8"/>
      <c r="D193" s="8"/>
      <c r="E193" s="8"/>
      <c r="F193" s="8"/>
      <c r="G193" s="8"/>
      <c r="H193" s="8"/>
      <c r="I193" s="8"/>
      <c r="J193" s="9"/>
      <c r="K193" s="19"/>
      <c r="L193" s="19"/>
      <c r="M193" s="19"/>
      <c r="N193" s="19"/>
    </row>
    <row r="194" spans="1:14">
      <c r="A194" s="20"/>
      <c r="B194" s="21"/>
      <c r="C194" s="8"/>
      <c r="D194" s="8"/>
      <c r="E194" s="8"/>
      <c r="F194" s="8"/>
      <c r="G194" s="8"/>
      <c r="H194" s="8"/>
      <c r="I194" s="8"/>
      <c r="J194" s="9"/>
      <c r="K194" s="19"/>
      <c r="L194" s="19"/>
      <c r="M194" s="19"/>
      <c r="N194" s="19"/>
    </row>
    <row r="195" spans="1:14">
      <c r="A195" s="20"/>
      <c r="B195" s="21"/>
      <c r="C195" s="8"/>
      <c r="D195" s="8"/>
      <c r="E195" s="8"/>
      <c r="F195" s="8"/>
      <c r="G195" s="8"/>
      <c r="H195" s="8"/>
      <c r="I195" s="8"/>
      <c r="J195" s="9"/>
      <c r="K195" s="19"/>
      <c r="L195" s="19"/>
      <c r="M195" s="19"/>
      <c r="N195" s="19"/>
    </row>
    <row r="196" spans="1:14">
      <c r="A196" s="20"/>
      <c r="B196" s="21"/>
      <c r="C196" s="8"/>
      <c r="D196" s="8"/>
      <c r="E196" s="8"/>
      <c r="F196" s="8"/>
      <c r="G196" s="8"/>
      <c r="H196" s="8"/>
      <c r="I196" s="8"/>
      <c r="J196" s="9"/>
      <c r="K196" s="19"/>
      <c r="L196" s="19"/>
      <c r="M196" s="19"/>
      <c r="N196" s="19"/>
    </row>
    <row r="197" spans="1:14">
      <c r="A197" s="20"/>
      <c r="B197" s="21"/>
      <c r="C197" s="8"/>
      <c r="D197" s="8"/>
      <c r="E197" s="8"/>
      <c r="F197" s="8"/>
      <c r="G197" s="8"/>
      <c r="H197" s="8"/>
      <c r="I197" s="8"/>
      <c r="J197" s="9"/>
      <c r="K197" s="19"/>
      <c r="L197" s="19"/>
      <c r="M197" s="19"/>
      <c r="N197" s="19"/>
    </row>
    <row r="198" spans="1:14">
      <c r="A198" s="20"/>
      <c r="B198" s="21"/>
      <c r="C198" s="8"/>
      <c r="D198" s="8"/>
      <c r="E198" s="8"/>
      <c r="F198" s="8"/>
      <c r="G198" s="8"/>
      <c r="H198" s="8"/>
      <c r="I198" s="8"/>
      <c r="J198" s="9"/>
      <c r="K198" s="19"/>
      <c r="L198" s="19"/>
      <c r="M198" s="19"/>
      <c r="N198" s="19"/>
    </row>
    <row r="199" spans="1:14">
      <c r="A199" s="20"/>
      <c r="B199" s="21"/>
      <c r="C199" s="8"/>
      <c r="D199" s="8"/>
      <c r="E199" s="8"/>
      <c r="F199" s="8"/>
      <c r="G199" s="8"/>
      <c r="H199" s="8"/>
      <c r="I199" s="8"/>
      <c r="J199" s="9"/>
      <c r="K199" s="19"/>
      <c r="L199" s="19"/>
      <c r="M199" s="19"/>
      <c r="N199" s="19"/>
    </row>
    <row r="200" spans="1:14">
      <c r="A200" s="20"/>
      <c r="B200" s="21"/>
      <c r="C200" s="8"/>
      <c r="D200" s="8"/>
      <c r="E200" s="8"/>
      <c r="F200" s="8"/>
      <c r="G200" s="8"/>
      <c r="H200" s="8"/>
      <c r="I200" s="8"/>
      <c r="J200" s="9"/>
      <c r="K200" s="19"/>
      <c r="L200" s="19"/>
      <c r="M200" s="19"/>
      <c r="N200" s="19"/>
    </row>
    <row r="201" spans="1:14">
      <c r="A201" s="20"/>
      <c r="B201" s="21"/>
      <c r="C201" s="8"/>
      <c r="D201" s="8"/>
      <c r="E201" s="8"/>
      <c r="F201" s="8"/>
      <c r="G201" s="8"/>
      <c r="H201" s="8"/>
      <c r="I201" s="8"/>
      <c r="J201" s="9"/>
      <c r="K201" s="19"/>
      <c r="L201" s="19"/>
      <c r="M201" s="19"/>
      <c r="N201" s="19"/>
    </row>
    <row r="202" spans="1:14">
      <c r="A202" s="20"/>
      <c r="B202" s="21"/>
      <c r="C202" s="8"/>
      <c r="D202" s="8"/>
      <c r="E202" s="8"/>
      <c r="F202" s="8"/>
      <c r="G202" s="8"/>
      <c r="H202" s="8"/>
      <c r="I202" s="8"/>
      <c r="J202" s="9"/>
      <c r="K202" s="19"/>
      <c r="L202" s="19"/>
      <c r="M202" s="19"/>
      <c r="N202" s="19"/>
    </row>
    <row r="203" spans="1:14">
      <c r="A203" s="20"/>
      <c r="B203" s="21"/>
      <c r="C203" s="8"/>
      <c r="D203" s="8"/>
      <c r="E203" s="8"/>
      <c r="F203" s="8"/>
      <c r="G203" s="8"/>
      <c r="H203" s="8"/>
      <c r="I203" s="8"/>
      <c r="J203" s="9"/>
      <c r="K203" s="19"/>
      <c r="L203" s="19"/>
      <c r="M203" s="19"/>
      <c r="N203" s="19"/>
    </row>
    <row r="204" spans="1:14">
      <c r="A204" s="20"/>
      <c r="B204" s="21"/>
      <c r="C204" s="8"/>
      <c r="D204" s="8"/>
      <c r="E204" s="8"/>
      <c r="F204" s="8"/>
      <c r="G204" s="8"/>
      <c r="H204" s="8"/>
      <c r="I204" s="8"/>
      <c r="J204" s="9"/>
      <c r="K204" s="19"/>
      <c r="L204" s="19"/>
      <c r="M204" s="19"/>
      <c r="N204" s="19"/>
    </row>
    <row r="205" spans="1:14">
      <c r="A205" s="20"/>
      <c r="B205" s="21"/>
      <c r="C205" s="8"/>
      <c r="D205" s="8"/>
      <c r="E205" s="8"/>
      <c r="F205" s="8"/>
      <c r="G205" s="8"/>
      <c r="H205" s="8"/>
      <c r="I205" s="8"/>
      <c r="J205" s="9"/>
      <c r="K205" s="19"/>
      <c r="L205" s="19"/>
      <c r="M205" s="19"/>
      <c r="N205" s="19"/>
    </row>
    <row r="206" spans="1:14">
      <c r="A206" s="20"/>
      <c r="B206" s="21"/>
      <c r="C206" s="8"/>
      <c r="D206" s="8"/>
      <c r="E206" s="8"/>
      <c r="F206" s="8"/>
      <c r="G206" s="8"/>
      <c r="H206" s="8"/>
      <c r="I206" s="8"/>
      <c r="J206" s="9"/>
      <c r="K206" s="19"/>
      <c r="L206" s="19"/>
      <c r="M206" s="19"/>
      <c r="N206" s="19"/>
    </row>
    <row r="207" spans="1:14">
      <c r="A207" s="20"/>
      <c r="B207" s="21"/>
      <c r="C207" s="8"/>
      <c r="D207" s="8"/>
      <c r="E207" s="8"/>
      <c r="F207" s="8"/>
      <c r="G207" s="8"/>
      <c r="H207" s="8"/>
      <c r="I207" s="8"/>
      <c r="J207" s="9"/>
      <c r="K207" s="19"/>
      <c r="L207" s="19"/>
      <c r="M207" s="19"/>
      <c r="N207" s="19"/>
    </row>
    <row r="208" spans="1:14">
      <c r="A208" s="20"/>
      <c r="B208" s="21"/>
      <c r="C208" s="8"/>
      <c r="D208" s="8"/>
      <c r="E208" s="8"/>
      <c r="F208" s="8"/>
      <c r="G208" s="8"/>
      <c r="H208" s="8"/>
      <c r="I208" s="8"/>
      <c r="J208" s="9"/>
      <c r="K208" s="19"/>
      <c r="L208" s="19"/>
      <c r="M208" s="19"/>
      <c r="N208" s="19"/>
    </row>
    <row r="209" spans="1:14">
      <c r="A209" s="20"/>
      <c r="B209" s="21"/>
      <c r="C209" s="8"/>
      <c r="D209" s="8"/>
      <c r="E209" s="8"/>
      <c r="F209" s="8"/>
      <c r="G209" s="8"/>
      <c r="H209" s="8"/>
      <c r="I209" s="8"/>
      <c r="J209" s="9"/>
      <c r="K209" s="19"/>
      <c r="L209" s="19"/>
      <c r="M209" s="19"/>
      <c r="N209" s="19"/>
    </row>
    <row r="210" spans="1:14">
      <c r="A210" s="20"/>
      <c r="B210" s="21"/>
      <c r="C210" s="8"/>
      <c r="D210" s="8"/>
      <c r="E210" s="8"/>
      <c r="F210" s="8"/>
      <c r="G210" s="8"/>
      <c r="H210" s="8"/>
      <c r="I210" s="8"/>
      <c r="J210" s="9"/>
      <c r="K210" s="19"/>
      <c r="L210" s="19"/>
      <c r="M210" s="19"/>
      <c r="N210" s="19"/>
    </row>
    <row r="211" spans="1:14">
      <c r="A211" s="20"/>
      <c r="B211" s="21"/>
      <c r="C211" s="8"/>
      <c r="D211" s="8"/>
      <c r="E211" s="8"/>
      <c r="F211" s="8"/>
      <c r="G211" s="8"/>
      <c r="H211" s="8"/>
      <c r="I211" s="8"/>
      <c r="J211" s="9"/>
      <c r="K211" s="19"/>
      <c r="L211" s="19"/>
      <c r="M211" s="19"/>
      <c r="N211" s="19"/>
    </row>
    <row r="212" spans="1:14">
      <c r="A212" s="20"/>
      <c r="B212" s="21"/>
      <c r="C212" s="8"/>
      <c r="D212" s="8"/>
      <c r="E212" s="8"/>
      <c r="F212" s="8"/>
      <c r="G212" s="8"/>
      <c r="H212" s="8"/>
      <c r="I212" s="8"/>
      <c r="J212" s="9"/>
      <c r="K212" s="19"/>
      <c r="L212" s="19"/>
      <c r="M212" s="19"/>
      <c r="N212" s="19"/>
    </row>
    <row r="213" spans="1:14">
      <c r="A213" s="20"/>
      <c r="B213" s="21"/>
      <c r="C213" s="8"/>
      <c r="D213" s="8"/>
      <c r="E213" s="8"/>
      <c r="F213" s="8"/>
      <c r="G213" s="8"/>
      <c r="H213" s="8"/>
      <c r="I213" s="8"/>
      <c r="J213" s="9"/>
      <c r="K213" s="19"/>
      <c r="L213" s="19"/>
      <c r="M213" s="19"/>
      <c r="N213" s="19"/>
    </row>
    <row r="214" spans="1:14">
      <c r="A214" s="20"/>
      <c r="B214" s="21"/>
      <c r="C214" s="8"/>
      <c r="D214" s="8"/>
      <c r="E214" s="8"/>
      <c r="F214" s="8"/>
      <c r="G214" s="8"/>
      <c r="H214" s="8"/>
      <c r="I214" s="8"/>
      <c r="J214" s="9"/>
      <c r="K214" s="19"/>
      <c r="L214" s="19"/>
      <c r="M214" s="19"/>
      <c r="N214" s="19"/>
    </row>
    <row r="215" spans="1:14">
      <c r="A215" s="20"/>
      <c r="B215" s="21"/>
      <c r="C215" s="8"/>
      <c r="D215" s="8"/>
      <c r="E215" s="8"/>
      <c r="F215" s="8"/>
      <c r="G215" s="8"/>
      <c r="H215" s="8"/>
      <c r="I215" s="8"/>
      <c r="J215" s="9"/>
      <c r="K215" s="19"/>
      <c r="L215" s="19"/>
      <c r="M215" s="19"/>
      <c r="N215" s="19"/>
    </row>
    <row r="216" spans="1:14">
      <c r="A216" s="20"/>
      <c r="B216" s="21"/>
      <c r="C216" s="8"/>
      <c r="D216" s="8"/>
      <c r="E216" s="8"/>
      <c r="F216" s="8"/>
      <c r="G216" s="8"/>
      <c r="H216" s="8"/>
      <c r="I216" s="8"/>
      <c r="J216" s="9"/>
      <c r="K216" s="19"/>
      <c r="L216" s="19"/>
      <c r="M216" s="19"/>
      <c r="N216" s="19"/>
    </row>
    <row r="217" spans="1:14">
      <c r="A217" s="20"/>
      <c r="B217" s="21"/>
      <c r="C217" s="8"/>
      <c r="D217" s="8"/>
      <c r="E217" s="8"/>
      <c r="F217" s="8"/>
      <c r="G217" s="8"/>
      <c r="H217" s="8"/>
      <c r="I217" s="8"/>
      <c r="J217" s="9"/>
      <c r="K217" s="19"/>
      <c r="L217" s="19"/>
      <c r="M217" s="19"/>
      <c r="N217" s="19"/>
    </row>
    <row r="218" spans="1:14">
      <c r="A218" s="20"/>
      <c r="B218" s="21"/>
      <c r="C218" s="8"/>
      <c r="D218" s="8"/>
      <c r="E218" s="8"/>
      <c r="F218" s="8"/>
      <c r="G218" s="8"/>
      <c r="H218" s="8"/>
      <c r="I218" s="8"/>
      <c r="J218" s="9"/>
      <c r="K218" s="19"/>
      <c r="L218" s="19"/>
      <c r="M218" s="19"/>
      <c r="N218" s="19"/>
    </row>
    <row r="219" spans="1:14">
      <c r="A219" s="20"/>
      <c r="B219" s="21"/>
      <c r="C219" s="8"/>
      <c r="D219" s="8"/>
      <c r="E219" s="8"/>
      <c r="F219" s="8"/>
      <c r="G219" s="8"/>
      <c r="H219" s="8"/>
      <c r="I219" s="8"/>
      <c r="J219" s="9"/>
      <c r="K219" s="19"/>
      <c r="L219" s="19"/>
      <c r="M219" s="19"/>
      <c r="N219" s="19"/>
    </row>
    <row r="220" spans="1:14">
      <c r="A220" s="20"/>
      <c r="B220" s="21"/>
      <c r="C220" s="8"/>
      <c r="D220" s="8"/>
      <c r="E220" s="8"/>
      <c r="F220" s="8"/>
      <c r="G220" s="8"/>
      <c r="H220" s="8"/>
      <c r="I220" s="8"/>
      <c r="J220" s="9"/>
      <c r="K220" s="19"/>
      <c r="L220" s="19"/>
      <c r="M220" s="19"/>
      <c r="N220" s="19"/>
    </row>
    <row r="221" spans="1:14">
      <c r="A221" s="20"/>
      <c r="B221" s="21"/>
      <c r="C221" s="8"/>
      <c r="D221" s="8"/>
      <c r="E221" s="8"/>
      <c r="F221" s="8"/>
      <c r="G221" s="8"/>
      <c r="H221" s="8"/>
      <c r="I221" s="8"/>
      <c r="J221" s="9"/>
      <c r="K221" s="19"/>
      <c r="L221" s="19"/>
      <c r="M221" s="19"/>
      <c r="N221" s="19"/>
    </row>
    <row r="222" spans="1:14">
      <c r="A222" s="20"/>
      <c r="B222" s="21"/>
      <c r="C222" s="8"/>
      <c r="D222" s="8"/>
      <c r="E222" s="8"/>
      <c r="F222" s="8"/>
      <c r="G222" s="8"/>
      <c r="H222" s="8"/>
      <c r="I222" s="8"/>
      <c r="J222" s="9"/>
      <c r="K222" s="19"/>
      <c r="L222" s="19"/>
      <c r="M222" s="19"/>
      <c r="N222" s="19"/>
    </row>
    <row r="223" spans="1:14">
      <c r="A223" s="20"/>
      <c r="B223" s="21"/>
      <c r="C223" s="8"/>
      <c r="D223" s="8"/>
      <c r="E223" s="8"/>
      <c r="F223" s="8"/>
      <c r="G223" s="8"/>
      <c r="H223" s="8"/>
      <c r="I223" s="8"/>
      <c r="J223" s="9"/>
      <c r="K223" s="19"/>
      <c r="L223" s="19"/>
      <c r="M223" s="19"/>
      <c r="N223" s="19"/>
    </row>
    <row r="224" spans="1:14">
      <c r="A224" s="20"/>
      <c r="B224" s="21"/>
      <c r="C224" s="8"/>
      <c r="D224" s="8"/>
      <c r="E224" s="8"/>
      <c r="F224" s="8"/>
      <c r="G224" s="8"/>
      <c r="H224" s="8"/>
      <c r="I224" s="8"/>
      <c r="J224" s="9"/>
      <c r="K224" s="19"/>
      <c r="L224" s="19"/>
      <c r="M224" s="19"/>
      <c r="N224" s="19"/>
    </row>
    <row r="225" spans="1:14">
      <c r="A225" s="20"/>
      <c r="B225" s="21"/>
      <c r="C225" s="8"/>
      <c r="D225" s="8"/>
      <c r="E225" s="8"/>
      <c r="F225" s="8"/>
      <c r="G225" s="8"/>
      <c r="H225" s="8"/>
      <c r="I225" s="8"/>
      <c r="J225" s="9"/>
      <c r="K225" s="19"/>
      <c r="L225" s="19"/>
      <c r="M225" s="19"/>
      <c r="N225" s="19"/>
    </row>
    <row r="226" spans="1:14">
      <c r="A226" s="20"/>
      <c r="B226" s="21"/>
      <c r="C226" s="8"/>
      <c r="D226" s="8"/>
      <c r="E226" s="8"/>
      <c r="F226" s="8"/>
      <c r="G226" s="8"/>
      <c r="H226" s="8"/>
      <c r="I226" s="8"/>
      <c r="J226" s="9"/>
      <c r="K226" s="19"/>
      <c r="L226" s="19"/>
      <c r="M226" s="19"/>
      <c r="N226" s="19"/>
    </row>
    <row r="227" spans="1:14">
      <c r="A227" s="20"/>
      <c r="B227" s="21"/>
      <c r="C227" s="8"/>
      <c r="D227" s="8"/>
      <c r="E227" s="8"/>
      <c r="F227" s="8"/>
      <c r="G227" s="8"/>
      <c r="H227" s="8"/>
      <c r="I227" s="8"/>
      <c r="J227" s="9"/>
      <c r="K227" s="19"/>
      <c r="L227" s="19"/>
      <c r="M227" s="19"/>
      <c r="N227" s="19"/>
    </row>
    <row r="228" spans="1:14">
      <c r="A228" s="20"/>
      <c r="B228" s="21"/>
      <c r="C228" s="8"/>
      <c r="D228" s="8"/>
      <c r="E228" s="8"/>
      <c r="F228" s="8"/>
      <c r="G228" s="8"/>
      <c r="H228" s="8"/>
      <c r="I228" s="8"/>
      <c r="J228" s="9"/>
      <c r="K228" s="19"/>
      <c r="L228" s="19"/>
      <c r="M228" s="19"/>
      <c r="N228" s="19"/>
    </row>
    <row r="229" spans="1:14">
      <c r="A229" s="20"/>
      <c r="B229" s="21"/>
      <c r="C229" s="8"/>
      <c r="D229" s="8"/>
      <c r="E229" s="8"/>
      <c r="F229" s="8"/>
      <c r="G229" s="8"/>
      <c r="H229" s="8"/>
      <c r="I229" s="8"/>
      <c r="J229" s="9"/>
      <c r="K229" s="19"/>
      <c r="L229" s="19"/>
      <c r="M229" s="19"/>
      <c r="N229" s="19"/>
    </row>
    <row r="230" spans="1:14">
      <c r="A230" s="20"/>
      <c r="B230" s="21"/>
      <c r="C230" s="8"/>
      <c r="D230" s="8"/>
      <c r="E230" s="8"/>
      <c r="F230" s="8"/>
      <c r="G230" s="8"/>
      <c r="H230" s="8"/>
      <c r="I230" s="8"/>
      <c r="J230" s="9"/>
      <c r="K230" s="19"/>
      <c r="L230" s="19"/>
      <c r="M230" s="19"/>
      <c r="N230" s="19"/>
    </row>
    <row r="231" spans="1:14">
      <c r="A231" s="20"/>
      <c r="B231" s="21"/>
      <c r="C231" s="8"/>
      <c r="D231" s="8"/>
      <c r="E231" s="8"/>
      <c r="F231" s="8"/>
      <c r="G231" s="8"/>
      <c r="H231" s="8"/>
      <c r="I231" s="8"/>
      <c r="J231" s="9"/>
      <c r="K231" s="19"/>
      <c r="L231" s="19"/>
      <c r="M231" s="19"/>
      <c r="N231" s="19"/>
    </row>
    <row r="232" spans="1:14">
      <c r="A232" s="20"/>
      <c r="B232" s="21"/>
      <c r="C232" s="8"/>
      <c r="D232" s="8"/>
      <c r="E232" s="8"/>
      <c r="F232" s="8"/>
      <c r="G232" s="8"/>
      <c r="H232" s="8"/>
      <c r="I232" s="8"/>
      <c r="J232" s="9"/>
      <c r="K232" s="19"/>
      <c r="L232" s="19"/>
      <c r="M232" s="19"/>
      <c r="N232" s="19"/>
    </row>
    <row r="233" spans="1:14">
      <c r="A233" s="20"/>
      <c r="B233" s="21"/>
      <c r="C233" s="8"/>
      <c r="D233" s="8"/>
      <c r="E233" s="8"/>
      <c r="F233" s="8"/>
      <c r="G233" s="8"/>
      <c r="H233" s="8"/>
      <c r="I233" s="8"/>
      <c r="J233" s="9"/>
      <c r="K233" s="19"/>
      <c r="L233" s="19"/>
      <c r="M233" s="19"/>
      <c r="N233" s="19"/>
    </row>
    <row r="234" spans="1:14">
      <c r="A234" s="20"/>
      <c r="B234" s="21"/>
      <c r="C234" s="8"/>
      <c r="D234" s="8"/>
      <c r="E234" s="8"/>
      <c r="F234" s="8"/>
      <c r="G234" s="8"/>
      <c r="H234" s="8"/>
      <c r="I234" s="8"/>
      <c r="J234" s="9"/>
      <c r="K234" s="19"/>
      <c r="L234" s="19"/>
      <c r="M234" s="19"/>
      <c r="N234" s="19"/>
    </row>
    <row r="235" spans="1:14">
      <c r="A235" s="20"/>
      <c r="B235" s="21"/>
      <c r="C235" s="8"/>
      <c r="D235" s="8"/>
      <c r="E235" s="8"/>
      <c r="F235" s="8"/>
      <c r="G235" s="8"/>
      <c r="H235" s="8"/>
      <c r="I235" s="8"/>
      <c r="J235" s="9"/>
      <c r="K235" s="19"/>
      <c r="L235" s="19"/>
      <c r="M235" s="19"/>
      <c r="N235" s="19"/>
    </row>
    <row r="236" spans="1:14">
      <c r="A236" s="20"/>
      <c r="B236" s="21"/>
      <c r="C236" s="8"/>
      <c r="D236" s="8"/>
      <c r="E236" s="8"/>
      <c r="F236" s="8"/>
      <c r="G236" s="8"/>
      <c r="H236" s="8"/>
      <c r="I236" s="8"/>
      <c r="J236" s="9"/>
      <c r="K236" s="19"/>
      <c r="L236" s="19"/>
      <c r="M236" s="19"/>
      <c r="N236" s="19"/>
    </row>
    <row r="237" spans="1:14">
      <c r="A237" s="20"/>
      <c r="B237" s="21"/>
      <c r="C237" s="8"/>
      <c r="D237" s="8"/>
      <c r="E237" s="8"/>
      <c r="F237" s="8"/>
      <c r="G237" s="8"/>
      <c r="H237" s="8"/>
      <c r="I237" s="8"/>
      <c r="J237" s="9"/>
      <c r="K237" s="19"/>
      <c r="L237" s="19"/>
      <c r="M237" s="19"/>
      <c r="N237" s="19"/>
    </row>
    <row r="238" spans="1:14">
      <c r="A238" s="20"/>
      <c r="B238" s="21"/>
      <c r="C238" s="8"/>
      <c r="D238" s="8"/>
      <c r="E238" s="8"/>
      <c r="F238" s="8"/>
      <c r="G238" s="8"/>
      <c r="H238" s="8"/>
      <c r="I238" s="8"/>
      <c r="J238" s="9"/>
      <c r="K238" s="19"/>
      <c r="L238" s="19"/>
      <c r="M238" s="19"/>
      <c r="N238" s="19"/>
    </row>
    <row r="239" spans="1:14">
      <c r="A239" s="20"/>
      <c r="B239" s="21"/>
      <c r="C239" s="8"/>
      <c r="D239" s="8"/>
      <c r="E239" s="8"/>
      <c r="F239" s="8"/>
      <c r="G239" s="8"/>
      <c r="H239" s="8"/>
      <c r="I239" s="8"/>
      <c r="J239" s="9"/>
      <c r="K239" s="19"/>
      <c r="L239" s="19"/>
      <c r="M239" s="19"/>
      <c r="N239" s="19"/>
    </row>
    <row r="240" spans="1:14">
      <c r="A240" s="20"/>
      <c r="B240" s="21"/>
      <c r="C240" s="8"/>
      <c r="D240" s="8"/>
      <c r="E240" s="8"/>
      <c r="F240" s="8"/>
      <c r="G240" s="8"/>
      <c r="H240" s="8"/>
      <c r="I240" s="8"/>
      <c r="J240" s="9"/>
      <c r="K240" s="19"/>
      <c r="L240" s="19"/>
      <c r="M240" s="19"/>
      <c r="N240" s="19"/>
    </row>
    <row r="241" spans="1:14">
      <c r="A241" s="20"/>
      <c r="B241" s="21"/>
      <c r="C241" s="8"/>
      <c r="D241" s="8"/>
      <c r="E241" s="8"/>
      <c r="F241" s="8"/>
      <c r="G241" s="8"/>
      <c r="H241" s="8"/>
      <c r="I241" s="8"/>
      <c r="J241" s="9"/>
      <c r="K241" s="19"/>
      <c r="L241" s="19"/>
      <c r="M241" s="19"/>
      <c r="N241" s="19"/>
    </row>
    <row r="242" spans="1:14">
      <c r="A242" s="20"/>
      <c r="B242" s="21"/>
      <c r="C242" s="8"/>
      <c r="D242" s="8"/>
      <c r="E242" s="8"/>
      <c r="F242" s="8"/>
      <c r="G242" s="8"/>
      <c r="H242" s="8"/>
      <c r="I242" s="8"/>
      <c r="J242" s="9"/>
      <c r="K242" s="19"/>
      <c r="L242" s="19"/>
      <c r="M242" s="19"/>
      <c r="N242" s="19"/>
    </row>
    <row r="243" spans="1:14">
      <c r="A243" s="20"/>
      <c r="B243" s="21"/>
      <c r="C243" s="8"/>
      <c r="D243" s="8"/>
      <c r="E243" s="8"/>
      <c r="F243" s="8"/>
      <c r="G243" s="8"/>
      <c r="H243" s="8"/>
      <c r="I243" s="8"/>
      <c r="J243" s="9"/>
      <c r="K243" s="19"/>
      <c r="L243" s="19"/>
      <c r="M243" s="19"/>
      <c r="N243" s="19"/>
    </row>
    <row r="244" spans="1:14">
      <c r="A244" s="20"/>
      <c r="B244" s="21"/>
      <c r="C244" s="8"/>
      <c r="D244" s="8"/>
      <c r="E244" s="8"/>
      <c r="F244" s="8"/>
      <c r="G244" s="8"/>
      <c r="H244" s="8"/>
      <c r="I244" s="8"/>
      <c r="J244" s="9"/>
      <c r="K244" s="19"/>
      <c r="L244" s="19"/>
      <c r="M244" s="19"/>
      <c r="N244" s="19"/>
    </row>
    <row r="245" spans="1:14">
      <c r="A245" s="20"/>
      <c r="B245" s="21"/>
      <c r="C245" s="8"/>
      <c r="D245" s="8"/>
      <c r="E245" s="8"/>
      <c r="F245" s="8"/>
      <c r="G245" s="8"/>
      <c r="H245" s="8"/>
      <c r="I245" s="8"/>
      <c r="J245" s="9"/>
      <c r="K245" s="19"/>
      <c r="L245" s="19"/>
      <c r="M245" s="19"/>
      <c r="N245" s="19"/>
    </row>
    <row r="246" spans="1:14">
      <c r="A246" s="20"/>
      <c r="B246" s="21"/>
      <c r="C246" s="8"/>
      <c r="D246" s="8"/>
      <c r="E246" s="8"/>
      <c r="F246" s="8"/>
      <c r="G246" s="8"/>
      <c r="H246" s="8"/>
      <c r="I246" s="8"/>
      <c r="J246" s="9"/>
      <c r="K246" s="19"/>
      <c r="L246" s="19"/>
      <c r="M246" s="19"/>
      <c r="N246" s="19"/>
    </row>
    <row r="247" spans="1:14">
      <c r="A247" s="20"/>
      <c r="B247" s="21"/>
      <c r="C247" s="8"/>
      <c r="D247" s="8"/>
      <c r="E247" s="8"/>
      <c r="F247" s="8"/>
      <c r="G247" s="8"/>
      <c r="H247" s="8"/>
      <c r="I247" s="8"/>
      <c r="J247" s="9"/>
      <c r="K247" s="19"/>
      <c r="L247" s="19"/>
      <c r="M247" s="19"/>
      <c r="N247" s="19"/>
    </row>
    <row r="248" spans="1:14">
      <c r="A248" s="20"/>
      <c r="B248" s="21"/>
      <c r="C248" s="8"/>
      <c r="D248" s="8"/>
      <c r="E248" s="8"/>
      <c r="F248" s="8"/>
      <c r="G248" s="8"/>
      <c r="H248" s="8"/>
      <c r="I248" s="8"/>
      <c r="J248" s="9"/>
      <c r="K248" s="19"/>
      <c r="L248" s="19"/>
      <c r="M248" s="19"/>
      <c r="N248" s="19"/>
    </row>
    <row r="249" spans="1:14">
      <c r="A249" s="20"/>
      <c r="B249" s="21"/>
      <c r="C249" s="8"/>
      <c r="D249" s="8"/>
      <c r="E249" s="8"/>
      <c r="F249" s="8"/>
      <c r="G249" s="8"/>
      <c r="H249" s="8"/>
      <c r="I249" s="8"/>
      <c r="J249" s="9"/>
      <c r="K249" s="19"/>
      <c r="L249" s="19"/>
      <c r="M249" s="19"/>
      <c r="N249" s="19"/>
    </row>
    <row r="250" spans="1:14">
      <c r="A250" s="20"/>
      <c r="B250" s="21"/>
      <c r="C250" s="8"/>
      <c r="D250" s="8"/>
      <c r="E250" s="8"/>
      <c r="F250" s="8"/>
      <c r="G250" s="8"/>
      <c r="H250" s="8"/>
      <c r="I250" s="8"/>
      <c r="J250" s="9"/>
      <c r="K250" s="19"/>
      <c r="L250" s="19"/>
      <c r="M250" s="19"/>
      <c r="N250" s="19"/>
    </row>
    <row r="251" spans="1:14">
      <c r="A251" s="20"/>
      <c r="B251" s="21"/>
      <c r="C251" s="8"/>
      <c r="D251" s="8"/>
      <c r="E251" s="8"/>
      <c r="F251" s="8"/>
      <c r="G251" s="8"/>
      <c r="H251" s="8"/>
      <c r="I251" s="8"/>
      <c r="J251" s="9"/>
      <c r="K251" s="19"/>
      <c r="L251" s="19"/>
      <c r="M251" s="19"/>
      <c r="N251" s="19"/>
    </row>
    <row r="252" spans="1:14">
      <c r="A252" s="20"/>
      <c r="B252" s="21"/>
      <c r="C252" s="8"/>
      <c r="D252" s="8"/>
      <c r="E252" s="8"/>
      <c r="F252" s="8"/>
      <c r="G252" s="8"/>
      <c r="H252" s="8"/>
      <c r="I252" s="8"/>
      <c r="J252" s="9"/>
      <c r="K252" s="19"/>
      <c r="L252" s="19"/>
      <c r="M252" s="19"/>
      <c r="N252" s="19"/>
    </row>
    <row r="253" spans="1:14">
      <c r="A253" s="20"/>
      <c r="B253" s="21"/>
      <c r="C253" s="8"/>
      <c r="D253" s="8"/>
      <c r="E253" s="8"/>
      <c r="F253" s="8"/>
      <c r="G253" s="8"/>
      <c r="H253" s="8"/>
      <c r="I253" s="8"/>
      <c r="J253" s="9"/>
      <c r="K253" s="19"/>
      <c r="L253" s="19"/>
      <c r="M253" s="19"/>
      <c r="N253" s="19"/>
    </row>
    <row r="254" spans="1:14">
      <c r="A254" s="20"/>
      <c r="B254" s="21"/>
      <c r="C254" s="8"/>
      <c r="D254" s="8"/>
      <c r="E254" s="8"/>
      <c r="F254" s="8"/>
      <c r="G254" s="8"/>
      <c r="H254" s="8"/>
      <c r="I254" s="8"/>
      <c r="J254" s="9"/>
      <c r="K254" s="19"/>
      <c r="L254" s="19"/>
      <c r="M254" s="19"/>
      <c r="N254" s="19"/>
    </row>
    <row r="255" spans="1:14">
      <c r="A255" s="20"/>
      <c r="B255" s="21"/>
      <c r="C255" s="8"/>
      <c r="D255" s="8"/>
      <c r="E255" s="8"/>
      <c r="F255" s="8"/>
      <c r="G255" s="8"/>
      <c r="H255" s="8"/>
      <c r="I255" s="8"/>
      <c r="J255" s="9"/>
      <c r="K255" s="19"/>
      <c r="L255" s="19"/>
      <c r="M255" s="19"/>
      <c r="N255" s="19"/>
    </row>
    <row r="256" spans="1:14">
      <c r="A256" s="20"/>
      <c r="B256" s="21"/>
      <c r="C256" s="8"/>
      <c r="D256" s="8"/>
      <c r="E256" s="8"/>
      <c r="F256" s="8"/>
      <c r="G256" s="8"/>
      <c r="H256" s="8"/>
      <c r="I256" s="8"/>
      <c r="J256" s="9"/>
      <c r="K256" s="19"/>
      <c r="L256" s="19"/>
      <c r="M256" s="19"/>
      <c r="N256" s="19"/>
    </row>
    <row r="257" spans="1:14">
      <c r="A257" s="20"/>
      <c r="B257" s="21"/>
      <c r="C257" s="8"/>
      <c r="D257" s="8"/>
      <c r="E257" s="8"/>
      <c r="F257" s="8"/>
      <c r="G257" s="8"/>
      <c r="H257" s="8"/>
      <c r="I257" s="8"/>
      <c r="J257" s="9"/>
      <c r="K257" s="19"/>
      <c r="L257" s="19"/>
      <c r="M257" s="19"/>
      <c r="N257" s="19"/>
    </row>
    <row r="258" spans="1:14">
      <c r="A258" s="20"/>
      <c r="B258" s="21"/>
      <c r="C258" s="8"/>
      <c r="D258" s="8"/>
      <c r="E258" s="8"/>
      <c r="F258" s="8"/>
      <c r="G258" s="8"/>
      <c r="H258" s="8"/>
      <c r="I258" s="8"/>
      <c r="J258" s="9"/>
      <c r="K258" s="19"/>
      <c r="L258" s="19"/>
      <c r="M258" s="19"/>
      <c r="N258" s="19"/>
    </row>
    <row r="259" spans="1:14">
      <c r="A259" s="20"/>
      <c r="B259" s="21"/>
      <c r="C259" s="8"/>
      <c r="D259" s="8"/>
      <c r="E259" s="8"/>
      <c r="F259" s="8"/>
      <c r="G259" s="8"/>
      <c r="H259" s="8"/>
      <c r="I259" s="8"/>
      <c r="J259" s="9"/>
      <c r="K259" s="19"/>
      <c r="L259" s="19"/>
      <c r="M259" s="19"/>
      <c r="N259" s="19"/>
    </row>
    <row r="260" spans="1:14">
      <c r="A260" s="20"/>
      <c r="B260" s="21"/>
      <c r="C260" s="8"/>
      <c r="D260" s="8"/>
      <c r="E260" s="8"/>
      <c r="F260" s="8"/>
      <c r="G260" s="8"/>
      <c r="H260" s="8"/>
      <c r="I260" s="8"/>
      <c r="J260" s="9"/>
      <c r="K260" s="19"/>
      <c r="L260" s="19"/>
      <c r="M260" s="19"/>
      <c r="N260" s="19"/>
    </row>
    <row r="261" spans="1:14">
      <c r="A261" s="20"/>
      <c r="B261" s="21"/>
      <c r="C261" s="8"/>
      <c r="D261" s="8"/>
      <c r="E261" s="8"/>
      <c r="F261" s="8"/>
      <c r="G261" s="8"/>
      <c r="H261" s="8"/>
      <c r="I261" s="8"/>
      <c r="J261" s="9"/>
      <c r="K261" s="19"/>
      <c r="L261" s="19"/>
      <c r="M261" s="19"/>
      <c r="N261" s="19"/>
    </row>
    <row r="262" spans="1:14">
      <c r="A262" s="20"/>
      <c r="B262" s="21"/>
      <c r="C262" s="8"/>
      <c r="D262" s="8"/>
      <c r="E262" s="8"/>
      <c r="F262" s="8"/>
      <c r="G262" s="8"/>
      <c r="H262" s="8"/>
      <c r="I262" s="8"/>
      <c r="J262" s="9"/>
      <c r="K262" s="19"/>
      <c r="L262" s="19"/>
      <c r="M262" s="19"/>
      <c r="N262" s="19"/>
    </row>
    <row r="263" spans="1:14">
      <c r="A263" s="20"/>
      <c r="B263" s="21"/>
      <c r="C263" s="8"/>
      <c r="D263" s="8"/>
      <c r="E263" s="8"/>
      <c r="F263" s="8"/>
      <c r="G263" s="8"/>
      <c r="H263" s="8"/>
      <c r="I263" s="8"/>
      <c r="J263" s="9"/>
      <c r="K263" s="19"/>
      <c r="L263" s="19"/>
      <c r="M263" s="19"/>
      <c r="N263" s="19"/>
    </row>
    <row r="264" spans="1:14">
      <c r="A264" s="20"/>
      <c r="B264" s="21"/>
      <c r="C264" s="8"/>
      <c r="D264" s="8"/>
      <c r="E264" s="8"/>
      <c r="F264" s="8"/>
      <c r="G264" s="8"/>
      <c r="H264" s="8"/>
      <c r="I264" s="8"/>
      <c r="J264" s="9"/>
      <c r="K264" s="19"/>
      <c r="L264" s="19"/>
      <c r="M264" s="19"/>
      <c r="N264" s="19"/>
    </row>
    <row r="265" spans="1:14">
      <c r="A265" s="20"/>
      <c r="B265" s="21"/>
      <c r="C265" s="8"/>
      <c r="D265" s="8"/>
      <c r="E265" s="8"/>
      <c r="F265" s="8"/>
      <c r="G265" s="8"/>
      <c r="H265" s="8"/>
      <c r="I265" s="8"/>
      <c r="J265" s="9"/>
      <c r="K265" s="19"/>
      <c r="L265" s="19"/>
      <c r="M265" s="19"/>
      <c r="N265" s="19"/>
    </row>
    <row r="266" spans="1:14">
      <c r="A266" s="20"/>
      <c r="B266" s="21"/>
      <c r="C266" s="8"/>
      <c r="D266" s="8"/>
      <c r="E266" s="8"/>
      <c r="F266" s="8"/>
      <c r="G266" s="8"/>
      <c r="H266" s="8"/>
      <c r="I266" s="8"/>
      <c r="J266" s="9"/>
      <c r="K266" s="19"/>
      <c r="L266" s="19"/>
      <c r="M266" s="19"/>
      <c r="N266" s="19"/>
    </row>
    <row r="267" spans="1:14">
      <c r="A267" s="20"/>
      <c r="B267" s="21"/>
      <c r="C267" s="8"/>
      <c r="D267" s="8"/>
      <c r="E267" s="8"/>
      <c r="F267" s="8"/>
      <c r="G267" s="8"/>
      <c r="H267" s="8"/>
      <c r="I267" s="8"/>
      <c r="J267" s="9"/>
      <c r="K267" s="19"/>
      <c r="L267" s="19"/>
      <c r="M267" s="19"/>
      <c r="N267" s="19"/>
    </row>
    <row r="268" spans="1:14">
      <c r="A268" s="20"/>
      <c r="B268" s="21"/>
      <c r="C268" s="8"/>
      <c r="D268" s="8"/>
      <c r="E268" s="8"/>
      <c r="F268" s="8"/>
      <c r="G268" s="8"/>
      <c r="H268" s="8"/>
      <c r="I268" s="8"/>
      <c r="J268" s="9"/>
      <c r="K268" s="19"/>
      <c r="L268" s="19"/>
      <c r="M268" s="19"/>
      <c r="N268" s="19"/>
    </row>
    <row r="269" spans="1:14">
      <c r="A269" s="20"/>
      <c r="B269" s="21"/>
      <c r="C269" s="8"/>
      <c r="D269" s="8"/>
      <c r="E269" s="8"/>
      <c r="F269" s="8"/>
      <c r="G269" s="8"/>
      <c r="H269" s="8"/>
      <c r="I269" s="8"/>
      <c r="J269" s="9"/>
      <c r="K269" s="19"/>
      <c r="L269" s="19"/>
      <c r="M269" s="19"/>
      <c r="N269" s="19"/>
    </row>
    <row r="270" spans="1:14">
      <c r="A270" s="20"/>
      <c r="B270" s="21"/>
      <c r="C270" s="8"/>
      <c r="D270" s="8"/>
      <c r="E270" s="8"/>
      <c r="F270" s="8"/>
      <c r="G270" s="8"/>
      <c r="H270" s="8"/>
      <c r="I270" s="8"/>
      <c r="J270" s="9"/>
      <c r="K270" s="19"/>
      <c r="L270" s="19"/>
      <c r="M270" s="19"/>
      <c r="N270" s="19"/>
    </row>
    <row r="271" spans="1:14">
      <c r="A271" s="20"/>
      <c r="B271" s="21"/>
      <c r="C271" s="8"/>
      <c r="D271" s="8"/>
      <c r="E271" s="8"/>
      <c r="F271" s="8"/>
      <c r="G271" s="8"/>
      <c r="H271" s="8"/>
      <c r="I271" s="8"/>
      <c r="J271" s="9"/>
      <c r="K271" s="19"/>
      <c r="L271" s="19"/>
      <c r="M271" s="19"/>
      <c r="N271" s="19"/>
    </row>
    <row r="272" spans="1:14">
      <c r="A272" s="20"/>
      <c r="B272" s="21"/>
      <c r="C272" s="8"/>
      <c r="D272" s="8"/>
      <c r="E272" s="8"/>
      <c r="F272" s="8"/>
      <c r="G272" s="8"/>
      <c r="H272" s="8"/>
      <c r="I272" s="8"/>
      <c r="J272" s="9"/>
      <c r="K272" s="19"/>
      <c r="L272" s="19"/>
      <c r="M272" s="19"/>
      <c r="N272" s="19"/>
    </row>
    <row r="273" spans="1:14">
      <c r="A273" s="20"/>
      <c r="B273" s="21"/>
      <c r="C273" s="8"/>
      <c r="D273" s="8"/>
      <c r="E273" s="8"/>
      <c r="F273" s="8"/>
      <c r="G273" s="8"/>
      <c r="H273" s="8"/>
      <c r="I273" s="8"/>
      <c r="J273" s="9"/>
      <c r="K273" s="19"/>
      <c r="L273" s="19"/>
      <c r="M273" s="19"/>
      <c r="N273" s="19"/>
    </row>
    <row r="274" spans="1:14">
      <c r="A274" s="20"/>
      <c r="B274" s="21"/>
      <c r="C274" s="8"/>
      <c r="D274" s="8"/>
      <c r="E274" s="8"/>
      <c r="F274" s="8"/>
      <c r="G274" s="8"/>
      <c r="H274" s="8"/>
      <c r="I274" s="8"/>
      <c r="J274" s="9"/>
      <c r="K274" s="19"/>
      <c r="L274" s="19"/>
      <c r="M274" s="19"/>
      <c r="N274" s="19"/>
    </row>
    <row r="275" spans="1:14">
      <c r="A275" s="20"/>
      <c r="B275" s="21"/>
      <c r="C275" s="8"/>
      <c r="D275" s="8"/>
      <c r="E275" s="8"/>
      <c r="F275" s="8"/>
      <c r="G275" s="8"/>
      <c r="H275" s="8"/>
      <c r="I275" s="8"/>
      <c r="J275" s="9"/>
      <c r="K275" s="19"/>
      <c r="L275" s="19"/>
      <c r="M275" s="19"/>
      <c r="N275" s="19"/>
    </row>
    <row r="276" spans="1:14">
      <c r="A276" s="20"/>
      <c r="B276" s="21"/>
      <c r="C276" s="8"/>
      <c r="D276" s="8"/>
      <c r="E276" s="8"/>
      <c r="F276" s="8"/>
      <c r="G276" s="8"/>
      <c r="H276" s="8"/>
      <c r="I276" s="8"/>
      <c r="J276" s="9"/>
      <c r="K276" s="19"/>
      <c r="L276" s="19"/>
      <c r="M276" s="19"/>
      <c r="N276" s="19"/>
    </row>
    <row r="277" spans="1:14">
      <c r="A277" s="20"/>
      <c r="B277" s="21"/>
      <c r="C277" s="8"/>
      <c r="D277" s="8"/>
      <c r="E277" s="8"/>
      <c r="F277" s="8"/>
      <c r="G277" s="8"/>
      <c r="H277" s="8"/>
      <c r="I277" s="8"/>
      <c r="J277" s="9"/>
      <c r="K277" s="19"/>
      <c r="L277" s="19"/>
      <c r="M277" s="19"/>
      <c r="N277" s="19"/>
    </row>
    <row r="278" spans="1:14">
      <c r="A278" s="20"/>
      <c r="B278" s="21"/>
      <c r="C278" s="8"/>
      <c r="D278" s="8"/>
      <c r="E278" s="8"/>
      <c r="F278" s="8"/>
      <c r="G278" s="8"/>
      <c r="H278" s="8"/>
      <c r="I278" s="8"/>
      <c r="J278" s="9"/>
      <c r="K278" s="19"/>
      <c r="L278" s="19"/>
      <c r="M278" s="19"/>
      <c r="N278" s="19"/>
    </row>
    <row r="279" spans="1:14">
      <c r="A279" s="20"/>
      <c r="B279" s="21"/>
      <c r="C279" s="8"/>
      <c r="D279" s="8"/>
      <c r="E279" s="8"/>
      <c r="F279" s="8"/>
      <c r="G279" s="8"/>
      <c r="H279" s="8"/>
      <c r="I279" s="8"/>
      <c r="J279" s="9"/>
      <c r="K279" s="19"/>
      <c r="L279" s="19"/>
      <c r="M279" s="19"/>
      <c r="N279" s="19"/>
    </row>
    <row r="280" spans="1:14">
      <c r="A280" s="20"/>
      <c r="B280" s="21"/>
      <c r="C280" s="8"/>
      <c r="D280" s="8"/>
      <c r="E280" s="8"/>
      <c r="F280" s="8"/>
      <c r="G280" s="8"/>
      <c r="H280" s="8"/>
      <c r="I280" s="8"/>
      <c r="J280" s="9"/>
      <c r="K280" s="19"/>
      <c r="L280" s="19"/>
      <c r="M280" s="19"/>
      <c r="N280" s="19"/>
    </row>
    <row r="281" spans="1:14">
      <c r="A281" s="20"/>
      <c r="B281" s="21"/>
      <c r="C281" s="8"/>
      <c r="D281" s="8"/>
      <c r="E281" s="8"/>
      <c r="F281" s="8"/>
      <c r="G281" s="8"/>
      <c r="H281" s="8"/>
      <c r="I281" s="8"/>
      <c r="J281" s="9"/>
      <c r="K281" s="19"/>
      <c r="L281" s="19"/>
      <c r="M281" s="19"/>
      <c r="N281" s="19"/>
    </row>
    <row r="282" spans="1:14">
      <c r="A282" s="20"/>
      <c r="B282" s="21"/>
      <c r="C282" s="8"/>
      <c r="D282" s="8"/>
      <c r="E282" s="8"/>
      <c r="F282" s="8"/>
      <c r="G282" s="8"/>
      <c r="H282" s="8"/>
      <c r="I282" s="8"/>
      <c r="J282" s="9"/>
      <c r="K282" s="19"/>
      <c r="L282" s="19"/>
      <c r="M282" s="19"/>
      <c r="N282" s="19"/>
    </row>
    <row r="283" spans="1:14">
      <c r="A283" s="20"/>
      <c r="B283" s="21"/>
      <c r="C283" s="8"/>
      <c r="D283" s="8"/>
      <c r="E283" s="8"/>
      <c r="F283" s="8"/>
      <c r="G283" s="8"/>
      <c r="H283" s="8"/>
      <c r="I283" s="8"/>
      <c r="J283" s="9"/>
      <c r="K283" s="19"/>
      <c r="L283" s="19"/>
      <c r="M283" s="19"/>
      <c r="N283" s="19"/>
    </row>
    <row r="284" spans="1:14">
      <c r="A284" s="20"/>
      <c r="B284" s="21"/>
      <c r="C284" s="8"/>
      <c r="D284" s="8"/>
      <c r="E284" s="8"/>
      <c r="F284" s="8"/>
      <c r="G284" s="8"/>
      <c r="H284" s="8"/>
      <c r="I284" s="8"/>
      <c r="J284" s="9"/>
      <c r="K284" s="19"/>
      <c r="L284" s="19"/>
      <c r="M284" s="19"/>
      <c r="N284" s="19"/>
    </row>
    <row r="285" spans="1:14">
      <c r="A285" s="20"/>
      <c r="B285" s="21"/>
      <c r="C285" s="8"/>
      <c r="D285" s="8"/>
      <c r="E285" s="8"/>
      <c r="F285" s="8"/>
      <c r="G285" s="8"/>
      <c r="H285" s="8"/>
      <c r="I285" s="8"/>
      <c r="J285" s="9"/>
      <c r="K285" s="19"/>
      <c r="L285" s="19"/>
      <c r="M285" s="19"/>
      <c r="N285" s="19"/>
    </row>
    <row r="286" spans="1:14">
      <c r="A286" s="20"/>
      <c r="B286" s="21"/>
      <c r="C286" s="8"/>
      <c r="D286" s="8"/>
      <c r="E286" s="8"/>
      <c r="F286" s="8"/>
      <c r="G286" s="8"/>
      <c r="H286" s="8"/>
      <c r="I286" s="8"/>
      <c r="J286" s="9"/>
      <c r="K286" s="19"/>
      <c r="L286" s="19"/>
      <c r="M286" s="19"/>
      <c r="N286" s="19"/>
    </row>
    <row r="287" spans="1:14">
      <c r="A287" s="20"/>
      <c r="B287" s="21"/>
      <c r="C287" s="8"/>
      <c r="D287" s="8"/>
      <c r="E287" s="8"/>
      <c r="F287" s="8"/>
      <c r="G287" s="8"/>
      <c r="H287" s="8"/>
      <c r="I287" s="8"/>
      <c r="J287" s="9"/>
      <c r="K287" s="19"/>
      <c r="L287" s="19"/>
      <c r="M287" s="19"/>
      <c r="N287" s="19"/>
    </row>
    <row r="288" spans="1:14">
      <c r="A288" s="20"/>
      <c r="B288" s="21"/>
      <c r="C288" s="8"/>
      <c r="D288" s="8"/>
      <c r="E288" s="8"/>
      <c r="F288" s="8"/>
      <c r="G288" s="8"/>
      <c r="H288" s="8"/>
      <c r="I288" s="8"/>
      <c r="J288" s="9"/>
      <c r="K288" s="19"/>
      <c r="L288" s="19"/>
      <c r="M288" s="19"/>
      <c r="N288" s="19"/>
    </row>
    <row r="289" spans="1:14">
      <c r="A289" s="20"/>
      <c r="B289" s="21"/>
      <c r="C289" s="8"/>
      <c r="D289" s="8"/>
      <c r="E289" s="8"/>
      <c r="F289" s="8"/>
      <c r="G289" s="8"/>
      <c r="H289" s="8"/>
      <c r="I289" s="8"/>
      <c r="J289" s="9"/>
      <c r="K289" s="19"/>
      <c r="L289" s="19"/>
      <c r="M289" s="19"/>
      <c r="N289" s="19"/>
    </row>
    <row r="290" spans="1:14">
      <c r="A290" s="20"/>
      <c r="B290" s="21"/>
      <c r="C290" s="8"/>
      <c r="D290" s="8"/>
      <c r="E290" s="8"/>
      <c r="F290" s="8"/>
      <c r="G290" s="8"/>
      <c r="H290" s="8"/>
      <c r="I290" s="8"/>
      <c r="J290" s="9"/>
      <c r="K290" s="19"/>
      <c r="L290" s="19"/>
      <c r="M290" s="19"/>
      <c r="N290" s="19"/>
    </row>
    <row r="291" spans="1:14">
      <c r="A291" s="20"/>
      <c r="B291" s="21"/>
      <c r="C291" s="8"/>
      <c r="D291" s="8"/>
      <c r="E291" s="8"/>
      <c r="F291" s="8"/>
      <c r="G291" s="8"/>
      <c r="H291" s="8"/>
      <c r="I291" s="8"/>
      <c r="J291" s="9"/>
      <c r="K291" s="19"/>
      <c r="L291" s="19"/>
      <c r="M291" s="19"/>
      <c r="N291" s="19"/>
    </row>
    <row r="292" spans="1:14">
      <c r="A292" s="20"/>
      <c r="B292" s="21"/>
      <c r="C292" s="8"/>
      <c r="D292" s="8"/>
      <c r="E292" s="8"/>
      <c r="F292" s="8"/>
      <c r="G292" s="8"/>
      <c r="H292" s="8"/>
      <c r="I292" s="8"/>
      <c r="J292" s="9"/>
      <c r="K292" s="19"/>
      <c r="L292" s="19"/>
      <c r="M292" s="19"/>
      <c r="N292" s="19"/>
    </row>
    <row r="293" spans="1:14">
      <c r="A293" s="20"/>
      <c r="B293" s="21"/>
      <c r="C293" s="8"/>
      <c r="D293" s="8"/>
      <c r="E293" s="8"/>
      <c r="F293" s="8"/>
      <c r="G293" s="8"/>
      <c r="H293" s="8"/>
      <c r="I293" s="8"/>
      <c r="J293" s="9"/>
      <c r="K293" s="19"/>
      <c r="L293" s="19"/>
      <c r="M293" s="19"/>
      <c r="N293" s="19"/>
    </row>
    <row r="294" spans="1:14">
      <c r="A294" s="20"/>
      <c r="B294" s="21"/>
      <c r="C294" s="8"/>
      <c r="D294" s="8"/>
      <c r="E294" s="8"/>
      <c r="F294" s="8"/>
      <c r="G294" s="8"/>
      <c r="H294" s="8"/>
      <c r="I294" s="8"/>
      <c r="J294" s="9"/>
      <c r="K294" s="19"/>
      <c r="L294" s="19"/>
      <c r="M294" s="19"/>
      <c r="N294" s="19"/>
    </row>
    <row r="295" spans="1:14">
      <c r="A295" s="20"/>
      <c r="B295" s="21"/>
      <c r="C295" s="8"/>
      <c r="D295" s="8"/>
      <c r="E295" s="8"/>
      <c r="F295" s="8"/>
      <c r="G295" s="8"/>
      <c r="H295" s="8"/>
      <c r="I295" s="8"/>
      <c r="J295" s="9"/>
      <c r="K295" s="19"/>
      <c r="L295" s="19"/>
      <c r="M295" s="19"/>
      <c r="N295" s="19"/>
    </row>
    <row r="296" spans="1:14">
      <c r="A296" s="20"/>
      <c r="B296" s="21"/>
      <c r="C296" s="8"/>
      <c r="D296" s="8"/>
      <c r="E296" s="8"/>
      <c r="F296" s="8"/>
      <c r="G296" s="8"/>
      <c r="H296" s="8"/>
      <c r="I296" s="8"/>
      <c r="J296" s="9"/>
      <c r="K296" s="19"/>
      <c r="L296" s="19"/>
      <c r="M296" s="19"/>
      <c r="N296" s="19"/>
    </row>
    <row r="297" spans="1:14">
      <c r="A297" s="20"/>
      <c r="B297" s="21"/>
      <c r="C297" s="8"/>
      <c r="D297" s="8"/>
      <c r="E297" s="8"/>
      <c r="F297" s="8"/>
      <c r="G297" s="8"/>
      <c r="H297" s="8"/>
      <c r="I297" s="8"/>
      <c r="J297" s="9"/>
      <c r="K297" s="19"/>
      <c r="L297" s="19"/>
      <c r="M297" s="19"/>
      <c r="N297" s="19"/>
    </row>
    <row r="298" spans="1:14">
      <c r="A298" s="20"/>
      <c r="B298" s="21"/>
      <c r="C298" s="8"/>
      <c r="D298" s="8"/>
      <c r="E298" s="8"/>
      <c r="F298" s="8"/>
      <c r="G298" s="8"/>
      <c r="H298" s="8"/>
      <c r="I298" s="8"/>
      <c r="J298" s="9"/>
      <c r="K298" s="19"/>
      <c r="L298" s="19"/>
      <c r="M298" s="19"/>
      <c r="N298" s="19"/>
    </row>
    <row r="299" spans="1:14">
      <c r="A299" s="20"/>
      <c r="B299" s="21"/>
      <c r="C299" s="8"/>
      <c r="D299" s="8"/>
      <c r="E299" s="8"/>
      <c r="F299" s="8"/>
      <c r="G299" s="8"/>
      <c r="H299" s="8"/>
      <c r="I299" s="8"/>
      <c r="J299" s="9"/>
      <c r="K299" s="19"/>
      <c r="L299" s="19"/>
      <c r="M299" s="19"/>
      <c r="N299" s="19"/>
    </row>
    <row r="300" spans="1:14">
      <c r="A300" s="20"/>
      <c r="B300" s="21"/>
      <c r="C300" s="8"/>
      <c r="D300" s="8"/>
      <c r="E300" s="8"/>
      <c r="F300" s="8"/>
      <c r="G300" s="8"/>
      <c r="H300" s="8"/>
      <c r="I300" s="8"/>
      <c r="J300" s="9"/>
      <c r="K300" s="19"/>
      <c r="L300" s="19"/>
      <c r="M300" s="19"/>
      <c r="N300" s="19"/>
    </row>
    <row r="301" spans="1:14">
      <c r="A301" s="20"/>
      <c r="B301" s="21"/>
      <c r="C301" s="8"/>
      <c r="D301" s="8"/>
      <c r="E301" s="8"/>
      <c r="F301" s="8"/>
      <c r="G301" s="8"/>
      <c r="H301" s="8"/>
      <c r="I301" s="8"/>
      <c r="J301" s="9"/>
      <c r="K301" s="19"/>
      <c r="L301" s="19"/>
      <c r="M301" s="19"/>
      <c r="N301" s="19"/>
    </row>
    <row r="302" spans="1:14">
      <c r="A302" s="20"/>
      <c r="B302" s="21"/>
      <c r="C302" s="8"/>
      <c r="D302" s="8"/>
      <c r="E302" s="8"/>
      <c r="F302" s="8"/>
      <c r="G302" s="8"/>
      <c r="H302" s="8"/>
      <c r="I302" s="8"/>
      <c r="J302" s="9"/>
      <c r="K302" s="19"/>
      <c r="L302" s="19"/>
      <c r="M302" s="19"/>
      <c r="N302" s="19"/>
    </row>
    <row r="303" spans="1:14">
      <c r="A303" s="20"/>
      <c r="B303" s="21"/>
      <c r="C303" s="8"/>
      <c r="D303" s="8"/>
      <c r="E303" s="8"/>
      <c r="F303" s="8"/>
      <c r="G303" s="8"/>
      <c r="H303" s="8"/>
      <c r="I303" s="8"/>
      <c r="J303" s="9"/>
      <c r="K303" s="19"/>
      <c r="L303" s="19"/>
      <c r="M303" s="19"/>
      <c r="N303" s="19"/>
    </row>
    <row r="304" spans="1:14">
      <c r="A304" s="20"/>
      <c r="B304" s="21"/>
      <c r="C304" s="8"/>
      <c r="D304" s="8"/>
      <c r="E304" s="8"/>
      <c r="F304" s="8"/>
      <c r="G304" s="8"/>
      <c r="H304" s="8"/>
      <c r="I304" s="8"/>
      <c r="J304" s="9"/>
      <c r="K304" s="19"/>
      <c r="L304" s="19"/>
      <c r="M304" s="19"/>
      <c r="N304" s="19"/>
    </row>
    <row r="305" spans="1:14">
      <c r="A305" s="20"/>
      <c r="B305" s="21"/>
      <c r="C305" s="8"/>
      <c r="D305" s="8"/>
      <c r="E305" s="8"/>
      <c r="F305" s="8"/>
      <c r="G305" s="8"/>
      <c r="H305" s="8"/>
      <c r="I305" s="8"/>
      <c r="J305" s="9"/>
      <c r="K305" s="19"/>
      <c r="L305" s="19"/>
      <c r="M305" s="19"/>
      <c r="N305" s="19"/>
    </row>
    <row r="306" spans="1:14">
      <c r="A306" s="2"/>
      <c r="B306" s="67"/>
      <c r="C306" s="68"/>
      <c r="D306" s="68"/>
      <c r="E306" s="68"/>
      <c r="F306" s="68"/>
      <c r="G306" s="68"/>
      <c r="H306" s="68"/>
      <c r="I306" s="68"/>
      <c r="J306" s="68"/>
      <c r="K306" s="68"/>
      <c r="L306" s="68"/>
      <c r="M306" s="68"/>
      <c r="N306" s="68"/>
    </row>
  </sheetData>
  <sheetProtection sheet="1" objects="1" scenarios="1" formatCells="0" formatColumns="0" formatRows="0" insertRows="0"/>
  <mergeCells count="17">
    <mergeCell ref="A1:N1"/>
    <mergeCell ref="D4:D5"/>
    <mergeCell ref="A3:A5"/>
    <mergeCell ref="B3:B5"/>
    <mergeCell ref="C3:C5"/>
    <mergeCell ref="K2:N2"/>
    <mergeCell ref="D3:G3"/>
    <mergeCell ref="M3:M5"/>
    <mergeCell ref="N3:N5"/>
    <mergeCell ref="I3:I5"/>
    <mergeCell ref="J3:J5"/>
    <mergeCell ref="K3:K5"/>
    <mergeCell ref="L3:L5"/>
    <mergeCell ref="E4:E5"/>
    <mergeCell ref="F4:F5"/>
    <mergeCell ref="G4:G5"/>
    <mergeCell ref="H3:H5"/>
  </mergeCells>
  <phoneticPr fontId="0" type="noConversion"/>
  <conditionalFormatting sqref="J21:J305">
    <cfRule type="cellIs" dxfId="86" priority="1" stopIfTrue="1" operator="lessThanOrEqual">
      <formula>3.5</formula>
    </cfRule>
    <cfRule type="cellIs" dxfId="85" priority="2" stopIfTrue="1" operator="between">
      <formula>3.5</formula>
      <formula>4.5</formula>
    </cfRule>
    <cfRule type="cellIs" dxfId="84" priority="3" stopIfTrue="1" operator="greaterThanOrEqual">
      <formula>4.5</formula>
    </cfRule>
  </conditionalFormatting>
  <conditionalFormatting sqref="K21:K305">
    <cfRule type="cellIs" dxfId="83" priority="4" stopIfTrue="1" operator="greaterThanOrEqual">
      <formula>0.975</formula>
    </cfRule>
    <cfRule type="cellIs" dxfId="82" priority="5" stopIfTrue="1" operator="between">
      <formula>0.95</formula>
      <formula>0.975</formula>
    </cfRule>
    <cfRule type="cellIs" dxfId="81" priority="6" stopIfTrue="1" operator="between">
      <formula>0</formula>
      <formula>0.95</formula>
    </cfRule>
  </conditionalFormatting>
  <conditionalFormatting sqref="L6:L305">
    <cfRule type="cellIs" dxfId="80" priority="7" stopIfTrue="1" operator="greaterThanOrEqual">
      <formula>0.75</formula>
    </cfRule>
    <cfRule type="cellIs" dxfId="79" priority="8" stopIfTrue="1" operator="between">
      <formula>0.33</formula>
      <formula>0.75</formula>
    </cfRule>
    <cfRule type="cellIs" dxfId="78" priority="9" stopIfTrue="1" operator="between">
      <formula>0</formula>
      <formula>0.33</formula>
    </cfRule>
  </conditionalFormatting>
  <conditionalFormatting sqref="M6:M305">
    <cfRule type="cellIs" dxfId="77" priority="10" stopIfTrue="1" operator="greaterThanOrEqual">
      <formula>0.8</formula>
    </cfRule>
    <cfRule type="cellIs" dxfId="76" priority="11" stopIfTrue="1" operator="between">
      <formula>0.6</formula>
      <formula>0.8</formula>
    </cfRule>
    <cfRule type="cellIs" dxfId="75" priority="12" stopIfTrue="1" operator="between">
      <formula>0</formula>
      <formula>0.6</formula>
    </cfRule>
  </conditionalFormatting>
  <conditionalFormatting sqref="N6:N305">
    <cfRule type="cellIs" dxfId="74" priority="13" stopIfTrue="1" operator="greaterThanOrEqual">
      <formula>0.85</formula>
    </cfRule>
    <cfRule type="cellIs" dxfId="73" priority="14" stopIfTrue="1" operator="between">
      <formula>0.5</formula>
      <formula>0.85</formula>
    </cfRule>
    <cfRule type="cellIs" dxfId="72" priority="15" stopIfTrue="1" operator="between">
      <formula>0</formula>
      <formula>0.5</formula>
    </cfRule>
  </conditionalFormatting>
  <conditionalFormatting sqref="A6:I305">
    <cfRule type="cellIs" dxfId="71" priority="16" stopIfTrue="1" operator="notEqual">
      <formula>0</formula>
    </cfRule>
  </conditionalFormatting>
  <conditionalFormatting sqref="J6:J20">
    <cfRule type="cellIs" dxfId="70" priority="17" stopIfTrue="1" operator="lessThanOrEqual">
      <formula>3.3</formula>
    </cfRule>
    <cfRule type="cellIs" dxfId="69" priority="18" stopIfTrue="1" operator="between">
      <formula>3.3</formula>
      <formula>4</formula>
    </cfRule>
    <cfRule type="cellIs" dxfId="68" priority="19" stopIfTrue="1" operator="greaterThanOrEqual">
      <formula>4</formula>
    </cfRule>
  </conditionalFormatting>
  <conditionalFormatting sqref="K6:K20">
    <cfRule type="cellIs" dxfId="67" priority="20" stopIfTrue="1" operator="greaterThanOrEqual">
      <formula>0.99</formula>
    </cfRule>
    <cfRule type="cellIs" dxfId="66" priority="21" stopIfTrue="1" operator="between">
      <formula>0.95</formula>
      <formula>0.99</formula>
    </cfRule>
    <cfRule type="cellIs" dxfId="65" priority="22" stopIfTrue="1" operator="between">
      <formula>0</formula>
      <formula>0.95</formula>
    </cfRule>
  </conditionalFormatting>
  <pageMargins left="0.31496062992125984" right="0.15748031496062992" top="1.41" bottom="0.35433070866141736" header="0.43307086614173229" footer="0.15748031496062992"/>
  <pageSetup paperSize="9" scale="125"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M7"/>
  <sheetViews>
    <sheetView showGridLines="0" showRowColHeaders="0" zoomScalePageLayoutView="70" workbookViewId="0">
      <selection activeCell="A4" sqref="A4:K4"/>
    </sheetView>
  </sheetViews>
  <sheetFormatPr defaultRowHeight="12.75"/>
  <cols>
    <col min="1" max="10" width="9.33203125" style="1"/>
    <col min="11" max="11" width="10.83203125" style="1" customWidth="1"/>
    <col min="12" max="16384" width="9.33203125" style="1"/>
  </cols>
  <sheetData>
    <row r="1" spans="1:13" ht="24.75" customHeight="1">
      <c r="A1" s="226" t="str">
        <f>'Таблица Учитель-Предмет'!D$1</f>
        <v>Муниципальное бюджетное общеобразовательное учреждение: средняя общеобразовательная школа №123 Центрального р-на г.Ростова-на-Дону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</row>
    <row r="2" spans="1:13">
      <c r="A2" s="228" t="str">
        <f>'Таблица Учитель-Предмет'!D$2</f>
        <v>2011/12 учебный год</v>
      </c>
      <c r="B2" s="228"/>
      <c r="C2" s="228"/>
      <c r="D2" s="228"/>
      <c r="E2" s="60"/>
      <c r="F2" s="70" t="s">
        <v>72</v>
      </c>
      <c r="G2" s="60"/>
      <c r="H2" s="228" t="str">
        <f>'Таблица Учитель-Предмет'!N$2</f>
        <v>1 четверть</v>
      </c>
      <c r="I2" s="228"/>
      <c r="J2" s="228"/>
      <c r="K2" s="228"/>
    </row>
    <row r="3" spans="1:13" ht="17.25" customHeight="1">
      <c r="A3" s="227" t="s">
        <v>19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</row>
    <row r="4" spans="1:13" ht="16.5" customHeight="1">
      <c r="A4" s="225" t="s">
        <v>20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</row>
    <row r="5" spans="1:13" ht="3" customHeight="1"/>
    <row r="7" spans="1:13">
      <c r="M7" s="69"/>
    </row>
  </sheetData>
  <sheetProtection password="DB21" sheet="1" scenarios="1"/>
  <mergeCells count="5">
    <mergeCell ref="A4:K4"/>
    <mergeCell ref="A1:K1"/>
    <mergeCell ref="A3:K3"/>
    <mergeCell ref="A2:D2"/>
    <mergeCell ref="H2:K2"/>
  </mergeCells>
  <phoneticPr fontId="0" type="noConversion"/>
  <pageMargins left="0.74803149606299213" right="0.15748031496062992" top="0.19685039370078741" bottom="0.19685039370078741" header="0.15748031496062992" footer="0.15748031496062992"/>
  <pageSetup paperSize="9" fitToHeight="4" orientation="portrait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7">
    <pageSetUpPr fitToPage="1"/>
  </sheetPr>
  <dimension ref="A1:K4"/>
  <sheetViews>
    <sheetView showGridLines="0" showRowColHeaders="0" workbookViewId="0">
      <selection activeCell="F2" sqref="F2"/>
    </sheetView>
  </sheetViews>
  <sheetFormatPr defaultRowHeight="12.75"/>
  <cols>
    <col min="1" max="16384" width="9.33203125" style="1"/>
  </cols>
  <sheetData>
    <row r="1" spans="1:11" ht="24.75" customHeight="1">
      <c r="A1" s="226" t="str">
        <f>'Таблица Учитель-Предмет'!D$1</f>
        <v>Муниципальное бюджетное общеобразовательное учреждение: средняя общеобразовательная школа №123 Центрального р-на г.Ростова-на-Дону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</row>
    <row r="2" spans="1:11">
      <c r="A2" s="228" t="str">
        <f>'Таблица Учитель-Предмет'!D$2</f>
        <v>2011/12 учебный год</v>
      </c>
      <c r="B2" s="228"/>
      <c r="C2" s="228"/>
      <c r="D2" s="228"/>
      <c r="E2" s="60"/>
      <c r="F2" s="70" t="s">
        <v>72</v>
      </c>
      <c r="G2" s="60"/>
      <c r="H2" s="228" t="str">
        <f>'Таблица Учитель-Предмет'!N$2</f>
        <v>1 четверть</v>
      </c>
      <c r="I2" s="228"/>
      <c r="J2" s="228"/>
      <c r="K2" s="228"/>
    </row>
    <row r="3" spans="1:11" ht="15.75">
      <c r="A3" s="227" t="s">
        <v>19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</row>
    <row r="4" spans="1:11" ht="16.5">
      <c r="A4" s="225" t="s">
        <v>23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</row>
  </sheetData>
  <sheetProtection password="DB21" sheet="1" scenarios="1"/>
  <mergeCells count="5">
    <mergeCell ref="A4:K4"/>
    <mergeCell ref="A1:K1"/>
    <mergeCell ref="A2:D2"/>
    <mergeCell ref="H2:K2"/>
    <mergeCell ref="A3:K3"/>
  </mergeCells>
  <phoneticPr fontId="0" type="noConversion"/>
  <pageMargins left="0.74803149606299213" right="0.15748031496062992" top="0.23622047244094491" bottom="0.19685039370078741" header="0.19685039370078741" footer="0.15748031496062992"/>
  <pageSetup paperSize="9" fitToHeight="4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2</vt:i4>
      </vt:variant>
    </vt:vector>
  </HeadingPairs>
  <TitlesOfParts>
    <vt:vector size="15" baseType="lpstr">
      <vt:lpstr>Titul</vt:lpstr>
      <vt:lpstr>ШкалаТрудн</vt:lpstr>
      <vt:lpstr>Список</vt:lpstr>
      <vt:lpstr>Таблица общая</vt:lpstr>
      <vt:lpstr>Таблица Учитель-Предмет</vt:lpstr>
      <vt:lpstr>Таблица Учитель</vt:lpstr>
      <vt:lpstr>Таблица ПМО</vt:lpstr>
      <vt:lpstr>СрБалл</vt:lpstr>
      <vt:lpstr>Успеваемость</vt:lpstr>
      <vt:lpstr>КачЗнаний</vt:lpstr>
      <vt:lpstr>СтепОбучен</vt:lpstr>
      <vt:lpstr>КачУспев</vt:lpstr>
      <vt:lpstr>Рейтинг</vt:lpstr>
      <vt:lpstr>Список_предметы</vt:lpstr>
      <vt:lpstr>Список_учителя</vt:lpstr>
    </vt:vector>
  </TitlesOfParts>
  <Company>ИП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Компаниец В.Б.</dc:creator>
  <cp:lastModifiedBy>Компаниец В.Б.</cp:lastModifiedBy>
  <cp:lastPrinted>2011-11-25T13:14:04Z</cp:lastPrinted>
  <dcterms:created xsi:type="dcterms:W3CDTF">2007-11-12T10:03:32Z</dcterms:created>
  <dcterms:modified xsi:type="dcterms:W3CDTF">2011-11-25T13:32:51Z</dcterms:modified>
</cp:coreProperties>
</file>